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99" i="1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V1043"/>
  <c r="U1043"/>
  <c r="V1042"/>
  <c r="U1042"/>
  <c r="V1041"/>
  <c r="U1041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U1021"/>
  <c r="V1020"/>
  <c r="U1020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U996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<sst xmlns="http://schemas.openxmlformats.org/spreadsheetml/2006/main" count="20722" uniqueCount="8553">
  <si>
    <t>ИНФРА-М Научно-издательский Центр</t>
  </si>
  <si>
    <t>004. СПО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</si>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</sst>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1330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1470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1400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1080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590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1214.9000000000001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2097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1220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13">
        <v>980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13">
        <v>860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1034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754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1560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1524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1170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1620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13">
        <v>990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3">
        <v>854.9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1010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1134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1500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2954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1010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1434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2894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1610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1614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13">
        <v>970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1760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1620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1270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810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1440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1570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2260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810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810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1334.9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1250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1764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1700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1090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13">
        <v>970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1184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13">
        <v>970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13">
        <v>840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1350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1080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730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1550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1204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1740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1660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830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1520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2820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2000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1750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1030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760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1030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2150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590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13">
        <v>860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1370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1650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1770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1620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1780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13">
        <v>970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2380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1270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3600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1190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810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13">
        <v>920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1454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1160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13">
        <v>990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1530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2354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1804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1804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1260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1140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650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1140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1694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1664.9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1320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13">
        <v>880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670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13">
        <v>940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1270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1350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1270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13">
        <v>990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1660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1090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1374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2023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HYPERLINK("https://media.infra-m.ru/1912/1912954/cover/1912954.jpg", "Обложка")</f>
        <v>Обложка</v>
      </c>
      <c r="V112" s="28" t="str">
        <f>HYPERLINK("https://znanium.ru/catalog/product/2149043",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1800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1514.9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1520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2024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1034.9000000000001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394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1180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1510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1134.9000000000001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784.9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1254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13">
        <v>944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700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1850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1730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1344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2650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780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1050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1694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1330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370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1030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1094.9000000000001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1104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13">
        <v>854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610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224.9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194.9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794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724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2130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660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1264.9000000000001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1650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654.9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13">
        <v>990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1500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2200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1280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820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1250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1144.9000000000001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13">
        <v>920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13">
        <v>850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724.9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820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1470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1030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1460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1860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13">
        <v>990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1190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2074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1110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1924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13">
        <v>940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600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1434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1870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1990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1294.9000000000001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1620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1560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1650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1370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1280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1450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1190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1124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13">
        <v>890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1090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1990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1410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1840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1150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1650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1440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1624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13">
        <v>980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2134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1240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1494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1640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1050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1662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13">
        <v>860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1540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1120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704.9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2090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1340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1300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13">
        <v>920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1460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699.9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2994.9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3200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13">
        <v>924.9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HYPERLINK("https://znanium.ru/catalog/product/1045133",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1130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2400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2199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620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790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13">
        <v>960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1870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1450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1094.9000000000001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414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1312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2360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1020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13">
        <v>890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1750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13">
        <v>840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1200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1100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1160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490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820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13">
        <v>984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630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13">
        <v>840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430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490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13">
        <v>930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2160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1280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1280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1070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2790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720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350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13">
        <v>980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13">
        <v>984.9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1724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640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1160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2304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1054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13">
        <v>914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1960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1090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1020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13">
        <v>930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1030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390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740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684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380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2090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1250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590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1680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574.9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1430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2060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1820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544.9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1714.9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2340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1410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13">
        <v>890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2804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13">
        <v>920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1010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1794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13">
        <v>900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1194.9000000000001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604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1144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2440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1700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1724.9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2604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1960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1944.9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1090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1380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1844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1284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2700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2060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2584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1490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1310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1740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1100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1584.9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1170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1100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1010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1014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1724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1742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1100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1474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1440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680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1540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584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514.9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1454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1990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2300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1524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1650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13">
        <v>850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1294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2530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2900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1790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1844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1270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660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13">
        <v>990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1460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793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450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410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13">
        <v>990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734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1180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1280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1340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1782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13">
        <v>860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1810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2044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13">
        <v>900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2130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370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1889.9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1860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1890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1390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1524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1234.9000000000001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1360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1840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1280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1220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1370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2234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2250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660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734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1294.9000000000001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13">
        <v>930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13">
        <v>869.9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599.9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1024.9000000000001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1660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620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1450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2110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2180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620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1060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1880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2090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1480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2290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1224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1280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1550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500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1864.9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470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2199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1500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1830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1000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1080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1250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1070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13">
        <v>990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774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1064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744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680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2400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1240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1660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800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1130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1274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1730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13">
        <v>974.9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280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13">
        <v>850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1210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1540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13">
        <v>974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13">
        <v>900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680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720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1124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1584.9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1080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1100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1470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1624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13">
        <v>920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760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1554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1060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1489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1460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630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654.9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1434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1730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2500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1684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13">
        <v>960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799.9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1800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1080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824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1820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2030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2030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1030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1830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2030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1520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1584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740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294.89999999999998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1734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1384.9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2023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HYPERLINK("https://media.infra-m.ru/2047/2047233/cover/2047233.jpg",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1060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740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13">
        <v>880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2020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1730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1290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1274.9000000000001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1720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2304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13">
        <v>970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1250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1330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1394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1604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1234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13">
        <v>940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13">
        <v>844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550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2050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1500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1554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1592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2074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2050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1614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1110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13">
        <v>904.9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1470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644.9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1030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1444.9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1490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1040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2500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1060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1184.9000000000001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1470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1770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1870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1180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13">
        <v>930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1720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1264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1994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1100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13">
        <v>950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1580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1320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1930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1300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1140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1450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1040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1254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2140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1170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610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760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1024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1154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610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13">
        <v>980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13">
        <v>944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574.9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650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450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1110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1090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1794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1510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1150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760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684.9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590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1194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700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764.9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574.4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1500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1200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1214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1510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1390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1150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1514.9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714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13">
        <v>884.9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449.9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1040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13">
        <v>944.9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1754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1040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1734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2020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770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1624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754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790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1884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1270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1510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1330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13">
        <v>860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1960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13">
        <v>940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13">
        <v>934.9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1150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1520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420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600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2244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2580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1400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13">
        <v>944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1894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1174.9000000000001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2382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1550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2060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1580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1860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1640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1240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1324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2630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1430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734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13">
        <v>984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650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1994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2224.9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1544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1444.9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13">
        <v>920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1440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730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1054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13">
        <v>934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13">
        <v>944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1380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1490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1450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1520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1300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1910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1900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1444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1764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13">
        <v>964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830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2330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1090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2023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HYPERLINK("https://media.infra-m.ru/2070/2070076/cover/2070076.jpg", "Обложка")</f>
        <v>Обложка</v>
      </c>
      <c r="V596" s="28" t="str">
        <f>HYPERLINK("https://znanium.ru/catalog/product/2132081",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1314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1460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1244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1170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1560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1400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1230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1800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51.95" customHeight="1">
      <c r="A605" s="5">
        <v>0</v>
      </c>
      <c r="B605" s="6" t="s">
        <v>4040</v>
      </c>
      <c r="C605" s="7">
        <v>1644</v>
      </c>
      <c r="D605" s="8" t="s">
        <v>4041</v>
      </c>
      <c r="E605" s="8" t="s">
        <v>4042</v>
      </c>
      <c r="F605" s="8" t="s">
        <v>4043</v>
      </c>
      <c r="G605" s="6" t="s">
        <v>66</v>
      </c>
      <c r="H605" s="6" t="s">
        <v>283</v>
      </c>
      <c r="I605" s="8" t="s">
        <v>39</v>
      </c>
      <c r="J605" s="9">
        <v>1</v>
      </c>
      <c r="K605" s="9">
        <v>350</v>
      </c>
      <c r="L605" s="9">
        <v>2024</v>
      </c>
      <c r="M605" s="8" t="s">
        <v>4044</v>
      </c>
      <c r="N605" s="8" t="s">
        <v>118</v>
      </c>
      <c r="O605" s="8" t="s">
        <v>119</v>
      </c>
      <c r="P605" s="6" t="s">
        <v>70</v>
      </c>
      <c r="Q605" s="8" t="s">
        <v>44</v>
      </c>
      <c r="R605" s="10" t="s">
        <v>739</v>
      </c>
      <c r="S605" s="11" t="s">
        <v>4045</v>
      </c>
      <c r="T605" s="6"/>
      <c r="U605" s="28" t="str">
        <f>HYPERLINK("https://media.infra-m.ru/2139/2139742/cover/2139742.jpg", "Обложка")</f>
        <v>Обложка</v>
      </c>
      <c r="V605" s="28" t="str">
        <f>HYPERLINK("https://znanium.ru/catalog/product/1914576", "Ознакомиться")</f>
        <v>Ознакомиться</v>
      </c>
      <c r="W605" s="8" t="s">
        <v>2328</v>
      </c>
      <c r="X605" s="6"/>
      <c r="Y605" s="6"/>
      <c r="Z605" s="6"/>
      <c r="AA605" s="6" t="s">
        <v>414</v>
      </c>
    </row>
    <row r="606" spans="1:27" s="4" customFormat="1" ht="51.95" customHeight="1">
      <c r="A606" s="5">
        <v>0</v>
      </c>
      <c r="B606" s="6" t="s">
        <v>4046</v>
      </c>
      <c r="C606" s="7">
        <v>1030</v>
      </c>
      <c r="D606" s="8" t="s">
        <v>4047</v>
      </c>
      <c r="E606" s="8" t="s">
        <v>4048</v>
      </c>
      <c r="F606" s="8" t="s">
        <v>4049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352</v>
      </c>
      <c r="L606" s="9">
        <v>2018</v>
      </c>
      <c r="M606" s="8" t="s">
        <v>4050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4051</v>
      </c>
      <c r="T606" s="6"/>
      <c r="U606" s="28" t="str">
        <f>HYPERLINK("https://media.infra-m.ru/0944/0944181/cover/944181.jpg", "Обложка")</f>
        <v>Обложка</v>
      </c>
      <c r="V606" s="28" t="str">
        <f>HYPERLINK("https://znanium.ru/catalog/product/1914576", "Ознакомиться")</f>
        <v>Ознакомиться</v>
      </c>
      <c r="W606" s="8" t="s">
        <v>2328</v>
      </c>
      <c r="X606" s="6"/>
      <c r="Y606" s="6"/>
      <c r="Z606" s="6"/>
      <c r="AA606" s="6" t="s">
        <v>1473</v>
      </c>
    </row>
    <row r="607" spans="1:27" s="4" customFormat="1" ht="51.95" customHeight="1">
      <c r="A607" s="5">
        <v>0</v>
      </c>
      <c r="B607" s="6" t="s">
        <v>4052</v>
      </c>
      <c r="C607" s="7">
        <v>1880</v>
      </c>
      <c r="D607" s="8" t="s">
        <v>4053</v>
      </c>
      <c r="E607" s="8" t="s">
        <v>4054</v>
      </c>
      <c r="F607" s="8" t="s">
        <v>3852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399</v>
      </c>
      <c r="L607" s="9">
        <v>2024</v>
      </c>
      <c r="M607" s="8" t="s">
        <v>4055</v>
      </c>
      <c r="N607" s="8" t="s">
        <v>118</v>
      </c>
      <c r="O607" s="8" t="s">
        <v>1459</v>
      </c>
      <c r="P607" s="6" t="s">
        <v>43</v>
      </c>
      <c r="Q607" s="8" t="s">
        <v>44</v>
      </c>
      <c r="R607" s="10" t="s">
        <v>905</v>
      </c>
      <c r="S607" s="11" t="s">
        <v>4056</v>
      </c>
      <c r="T607" s="6"/>
      <c r="U607" s="28" t="str">
        <f>HYPERLINK("https://media.infra-m.ru/2142/2142815/cover/2142815.jpg", "Обложка")</f>
        <v>Обложка</v>
      </c>
      <c r="V607" s="28" t="str">
        <f>HYPERLINK("https://znanium.ru/catalog/product/2142815", "Ознакомиться")</f>
        <v>Ознакомиться</v>
      </c>
      <c r="W607" s="8" t="s">
        <v>3855</v>
      </c>
      <c r="X607" s="6"/>
      <c r="Y607" s="6"/>
      <c r="Z607" s="6" t="s">
        <v>48</v>
      </c>
      <c r="AA607" s="6" t="s">
        <v>213</v>
      </c>
    </row>
    <row r="608" spans="1:27" s="4" customFormat="1" ht="51.95" customHeight="1">
      <c r="A608" s="5">
        <v>0</v>
      </c>
      <c r="B608" s="6" t="s">
        <v>4057</v>
      </c>
      <c r="C608" s="13">
        <v>934.9</v>
      </c>
      <c r="D608" s="8" t="s">
        <v>4058</v>
      </c>
      <c r="E608" s="8" t="s">
        <v>4059</v>
      </c>
      <c r="F608" s="8" t="s">
        <v>4060</v>
      </c>
      <c r="G608" s="6" t="s">
        <v>54</v>
      </c>
      <c r="H608" s="6" t="s">
        <v>716</v>
      </c>
      <c r="I608" s="8"/>
      <c r="J608" s="9">
        <v>1</v>
      </c>
      <c r="K608" s="9">
        <v>222</v>
      </c>
      <c r="L608" s="9">
        <v>2022</v>
      </c>
      <c r="M608" s="8" t="s">
        <v>4061</v>
      </c>
      <c r="N608" s="8" t="s">
        <v>504</v>
      </c>
      <c r="O608" s="8" t="s">
        <v>3574</v>
      </c>
      <c r="P608" s="6" t="s">
        <v>43</v>
      </c>
      <c r="Q608" s="8" t="s">
        <v>44</v>
      </c>
      <c r="R608" s="10" t="s">
        <v>4062</v>
      </c>
      <c r="S608" s="11"/>
      <c r="T608" s="6"/>
      <c r="U608" s="28" t="str">
        <f>HYPERLINK("https://media.infra-m.ru/1840/1840322/cover/1840322.jpg", "Обложка")</f>
        <v>Обложка</v>
      </c>
      <c r="V608" s="28" t="str">
        <f>HYPERLINK("https://znanium.ru/catalog/product/912392", "Ознакомиться")</f>
        <v>Ознакомиться</v>
      </c>
      <c r="W608" s="8" t="s">
        <v>1971</v>
      </c>
      <c r="X608" s="6"/>
      <c r="Y608" s="6"/>
      <c r="Z608" s="6"/>
      <c r="AA608" s="6" t="s">
        <v>587</v>
      </c>
    </row>
    <row r="609" spans="1:27" s="4" customFormat="1" ht="51.95" customHeight="1">
      <c r="A609" s="5">
        <v>0</v>
      </c>
      <c r="B609" s="6" t="s">
        <v>4063</v>
      </c>
      <c r="C609" s="13">
        <v>644</v>
      </c>
      <c r="D609" s="8" t="s">
        <v>4064</v>
      </c>
      <c r="E609" s="8" t="s">
        <v>4065</v>
      </c>
      <c r="F609" s="8" t="s">
        <v>4066</v>
      </c>
      <c r="G609" s="6" t="s">
        <v>54</v>
      </c>
      <c r="H609" s="6" t="s">
        <v>79</v>
      </c>
      <c r="I609" s="8" t="s">
        <v>39</v>
      </c>
      <c r="J609" s="9">
        <v>1</v>
      </c>
      <c r="K609" s="9">
        <v>130</v>
      </c>
      <c r="L609" s="9">
        <v>2023</v>
      </c>
      <c r="M609" s="8" t="s">
        <v>4067</v>
      </c>
      <c r="N609" s="8" t="s">
        <v>504</v>
      </c>
      <c r="O609" s="8" t="s">
        <v>746</v>
      </c>
      <c r="P609" s="6" t="s">
        <v>43</v>
      </c>
      <c r="Q609" s="8" t="s">
        <v>44</v>
      </c>
      <c r="R609" s="10" t="s">
        <v>4068</v>
      </c>
      <c r="S609" s="11" t="s">
        <v>4069</v>
      </c>
      <c r="T609" s="6"/>
      <c r="U609" s="28" t="str">
        <f>HYPERLINK("https://media.infra-m.ru/2006/2006818/cover/2006818.jpg", "Обложка")</f>
        <v>Обложка</v>
      </c>
      <c r="V609" s="28" t="str">
        <f>HYPERLINK("https://znanium.ru/catalog/product/1003203", "Ознакомиться")</f>
        <v>Ознакомиться</v>
      </c>
      <c r="W609" s="8" t="s">
        <v>2077</v>
      </c>
      <c r="X609" s="6"/>
      <c r="Y609" s="6"/>
      <c r="Z609" s="6"/>
      <c r="AA609" s="6" t="s">
        <v>656</v>
      </c>
    </row>
    <row r="610" spans="1:27" s="4" customFormat="1" ht="51.95" customHeight="1">
      <c r="A610" s="5">
        <v>0</v>
      </c>
      <c r="B610" s="6" t="s">
        <v>4070</v>
      </c>
      <c r="C610" s="13">
        <v>952</v>
      </c>
      <c r="D610" s="8" t="s">
        <v>4071</v>
      </c>
      <c r="E610" s="8" t="s">
        <v>4072</v>
      </c>
      <c r="F610" s="8" t="s">
        <v>691</v>
      </c>
      <c r="G610" s="6" t="s">
        <v>54</v>
      </c>
      <c r="H610" s="6" t="s">
        <v>38</v>
      </c>
      <c r="I610" s="8" t="s">
        <v>39</v>
      </c>
      <c r="J610" s="9">
        <v>1</v>
      </c>
      <c r="K610" s="9">
        <v>158</v>
      </c>
      <c r="L610" s="9">
        <v>2024</v>
      </c>
      <c r="M610" s="8" t="s">
        <v>4073</v>
      </c>
      <c r="N610" s="8" t="s">
        <v>41</v>
      </c>
      <c r="O610" s="8" t="s">
        <v>160</v>
      </c>
      <c r="P610" s="6" t="s">
        <v>43</v>
      </c>
      <c r="Q610" s="8" t="s">
        <v>44</v>
      </c>
      <c r="R610" s="10" t="s">
        <v>4074</v>
      </c>
      <c r="S610" s="11" t="s">
        <v>260</v>
      </c>
      <c r="T610" s="6"/>
      <c r="U610" s="28" t="str">
        <f>HYPERLINK("https://media.infra-m.ru/2107/2107351/cover/2107351.jpg", "Обложка")</f>
        <v>Обложка</v>
      </c>
      <c r="V610" s="28" t="str">
        <f>HYPERLINK("https://znanium.ru/catalog/product/2107351", "Ознакомиться")</f>
        <v>Ознакомиться</v>
      </c>
      <c r="W610" s="8"/>
      <c r="X610" s="6"/>
      <c r="Y610" s="6"/>
      <c r="Z610" s="6"/>
      <c r="AA610" s="6" t="s">
        <v>103</v>
      </c>
    </row>
    <row r="611" spans="1:27" s="4" customFormat="1" ht="51.95" customHeight="1">
      <c r="A611" s="5">
        <v>0</v>
      </c>
      <c r="B611" s="6" t="s">
        <v>4075</v>
      </c>
      <c r="C611" s="13">
        <v>980</v>
      </c>
      <c r="D611" s="8" t="s">
        <v>4076</v>
      </c>
      <c r="E611" s="8" t="s">
        <v>4077</v>
      </c>
      <c r="F611" s="8" t="s">
        <v>4078</v>
      </c>
      <c r="G611" s="6" t="s">
        <v>66</v>
      </c>
      <c r="H611" s="6" t="s">
        <v>38</v>
      </c>
      <c r="I611" s="8" t="s">
        <v>39</v>
      </c>
      <c r="J611" s="9">
        <v>1</v>
      </c>
      <c r="K611" s="9">
        <v>208</v>
      </c>
      <c r="L611" s="9">
        <v>2024</v>
      </c>
      <c r="M611" s="8" t="s">
        <v>4079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4080</v>
      </c>
      <c r="S611" s="11" t="s">
        <v>4081</v>
      </c>
      <c r="T611" s="6"/>
      <c r="U611" s="28" t="str">
        <f>HYPERLINK("https://media.infra-m.ru/2138/2138953/cover/2138953.jpg", "Обложка")</f>
        <v>Обложка</v>
      </c>
      <c r="V611" s="28" t="str">
        <f>HYPERLINK("https://znanium.ru/catalog/product/2138953", "Ознакомиться")</f>
        <v>Ознакомиться</v>
      </c>
      <c r="W611" s="8" t="s">
        <v>4082</v>
      </c>
      <c r="X611" s="6"/>
      <c r="Y611" s="6"/>
      <c r="Z611" s="6"/>
      <c r="AA611" s="6" t="s">
        <v>587</v>
      </c>
    </row>
    <row r="612" spans="1:27" s="4" customFormat="1" ht="51.95" customHeight="1">
      <c r="A612" s="5">
        <v>0</v>
      </c>
      <c r="B612" s="6" t="s">
        <v>4083</v>
      </c>
      <c r="C612" s="7">
        <v>1484.9</v>
      </c>
      <c r="D612" s="8" t="s">
        <v>4084</v>
      </c>
      <c r="E612" s="8" t="s">
        <v>4085</v>
      </c>
      <c r="F612" s="8" t="s">
        <v>4086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329</v>
      </c>
      <c r="L612" s="9">
        <v>2023</v>
      </c>
      <c r="M612" s="8" t="s">
        <v>4087</v>
      </c>
      <c r="N612" s="8" t="s">
        <v>41</v>
      </c>
      <c r="O612" s="8" t="s">
        <v>42</v>
      </c>
      <c r="P612" s="6" t="s">
        <v>70</v>
      </c>
      <c r="Q612" s="8" t="s">
        <v>44</v>
      </c>
      <c r="R612" s="10" t="s">
        <v>4088</v>
      </c>
      <c r="S612" s="11" t="s">
        <v>4089</v>
      </c>
      <c r="T612" s="6"/>
      <c r="U612" s="28" t="str">
        <f>HYPERLINK("https://media.infra-m.ru/2030/2030864/cover/2030864.jpg", "Обложка")</f>
        <v>Обложка</v>
      </c>
      <c r="V612" s="28" t="str">
        <f>HYPERLINK("https://znanium.ru/catalog/product/1189338", "Ознакомиться")</f>
        <v>Ознакомиться</v>
      </c>
      <c r="W612" s="8" t="s">
        <v>2077</v>
      </c>
      <c r="X612" s="6"/>
      <c r="Y612" s="6"/>
      <c r="Z612" s="6" t="s">
        <v>48</v>
      </c>
      <c r="AA612" s="6" t="s">
        <v>94</v>
      </c>
    </row>
    <row r="613" spans="1:27" s="4" customFormat="1" ht="51.95" customHeight="1">
      <c r="A613" s="5">
        <v>0</v>
      </c>
      <c r="B613" s="6" t="s">
        <v>4090</v>
      </c>
      <c r="C613" s="7">
        <v>1690</v>
      </c>
      <c r="D613" s="8" t="s">
        <v>4091</v>
      </c>
      <c r="E613" s="8" t="s">
        <v>4092</v>
      </c>
      <c r="F613" s="8" t="s">
        <v>4093</v>
      </c>
      <c r="G613" s="6" t="s">
        <v>66</v>
      </c>
      <c r="H613" s="6" t="s">
        <v>38</v>
      </c>
      <c r="I613" s="8" t="s">
        <v>39</v>
      </c>
      <c r="J613" s="9">
        <v>1</v>
      </c>
      <c r="K613" s="9">
        <v>367</v>
      </c>
      <c r="L613" s="9">
        <v>2024</v>
      </c>
      <c r="M613" s="8" t="s">
        <v>4094</v>
      </c>
      <c r="N613" s="8" t="s">
        <v>41</v>
      </c>
      <c r="O613" s="8" t="s">
        <v>303</v>
      </c>
      <c r="P613" s="6" t="s">
        <v>43</v>
      </c>
      <c r="Q613" s="8" t="s">
        <v>44</v>
      </c>
      <c r="R613" s="10" t="s">
        <v>320</v>
      </c>
      <c r="S613" s="11" t="s">
        <v>4095</v>
      </c>
      <c r="T613" s="6"/>
      <c r="U613" s="28" t="str">
        <f>HYPERLINK("https://media.infra-m.ru/2094/2094513/cover/2094513.jpg", "Обложка")</f>
        <v>Обложка</v>
      </c>
      <c r="V613" s="28" t="str">
        <f>HYPERLINK("https://znanium.ru/catalog/product/2094513", "Ознакомиться")</f>
        <v>Ознакомиться</v>
      </c>
      <c r="W613" s="8" t="s">
        <v>391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4096</v>
      </c>
      <c r="C614" s="7">
        <v>1770</v>
      </c>
      <c r="D614" s="8" t="s">
        <v>4097</v>
      </c>
      <c r="E614" s="8" t="s">
        <v>4098</v>
      </c>
      <c r="F614" s="8" t="s">
        <v>4099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392</v>
      </c>
      <c r="L614" s="9">
        <v>2023</v>
      </c>
      <c r="M614" s="8" t="s">
        <v>4100</v>
      </c>
      <c r="N614" s="8" t="s">
        <v>41</v>
      </c>
      <c r="O614" s="8" t="s">
        <v>42</v>
      </c>
      <c r="P614" s="6" t="s">
        <v>43</v>
      </c>
      <c r="Q614" s="8" t="s">
        <v>44</v>
      </c>
      <c r="R614" s="10" t="s">
        <v>3240</v>
      </c>
      <c r="S614" s="11" t="s">
        <v>4101</v>
      </c>
      <c r="T614" s="6"/>
      <c r="U614" s="28" t="str">
        <f>HYPERLINK("https://media.infra-m.ru/1902/1902735/cover/1902735.jpg", "Обложка")</f>
        <v>Обложка</v>
      </c>
      <c r="V614" s="28" t="str">
        <f>HYPERLINK("https://znanium.ru/catalog/product/1902735", "Ознакомиться")</f>
        <v>Ознакомиться</v>
      </c>
      <c r="W614" s="8" t="s">
        <v>4102</v>
      </c>
      <c r="X614" s="6"/>
      <c r="Y614" s="6"/>
      <c r="Z614" s="6"/>
      <c r="AA614" s="6" t="s">
        <v>671</v>
      </c>
    </row>
    <row r="615" spans="1:27" s="4" customFormat="1" ht="51.95" customHeight="1">
      <c r="A615" s="5">
        <v>0</v>
      </c>
      <c r="B615" s="6" t="s">
        <v>4103</v>
      </c>
      <c r="C615" s="7">
        <v>2100</v>
      </c>
      <c r="D615" s="8" t="s">
        <v>4104</v>
      </c>
      <c r="E615" s="8" t="s">
        <v>4105</v>
      </c>
      <c r="F615" s="8" t="s">
        <v>1179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594</v>
      </c>
      <c r="L615" s="9">
        <v>2022</v>
      </c>
      <c r="M615" s="8" t="s">
        <v>4106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4107</v>
      </c>
      <c r="S615" s="11" t="s">
        <v>4108</v>
      </c>
      <c r="T615" s="6"/>
      <c r="U615" s="28" t="str">
        <f>HYPERLINK("https://media.infra-m.ru/1864/1864235/cover/1864235.jpg", "Обложка")</f>
        <v>Обложка</v>
      </c>
      <c r="V615" s="28" t="str">
        <f>HYPERLINK("https://znanium.ru/catalog/product/1864235", "Ознакомиться")</f>
        <v>Ознакомиться</v>
      </c>
      <c r="W615" s="8" t="s">
        <v>1182</v>
      </c>
      <c r="X615" s="6"/>
      <c r="Y615" s="6"/>
      <c r="Z615" s="6"/>
      <c r="AA615" s="6" t="s">
        <v>656</v>
      </c>
    </row>
    <row r="616" spans="1:27" s="4" customFormat="1" ht="51.95" customHeight="1">
      <c r="A616" s="5">
        <v>0</v>
      </c>
      <c r="B616" s="6" t="s">
        <v>4109</v>
      </c>
      <c r="C616" s="7">
        <v>2107</v>
      </c>
      <c r="D616" s="8" t="s">
        <v>4110</v>
      </c>
      <c r="E616" s="8" t="s">
        <v>4111</v>
      </c>
      <c r="F616" s="8" t="s">
        <v>1179</v>
      </c>
      <c r="G616" s="6" t="s">
        <v>66</v>
      </c>
      <c r="H616" s="6" t="s">
        <v>38</v>
      </c>
      <c r="I616" s="8" t="s">
        <v>39</v>
      </c>
      <c r="J616" s="9">
        <v>1</v>
      </c>
      <c r="K616" s="9">
        <v>343</v>
      </c>
      <c r="L616" s="9">
        <v>2024</v>
      </c>
      <c r="M616" s="8" t="s">
        <v>4112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145</v>
      </c>
      <c r="S616" s="11" t="s">
        <v>4113</v>
      </c>
      <c r="T616" s="6"/>
      <c r="U616" s="28" t="str">
        <f>HYPERLINK("https://media.infra-m.ru/2144/2144967/cover/2144967.jpg", "Обложка")</f>
        <v>Обложка</v>
      </c>
      <c r="V616" s="28" t="str">
        <f>HYPERLINK("https://znanium.ru/catalog/product/1927269", "Ознакомиться")</f>
        <v>Ознакомиться</v>
      </c>
      <c r="W616" s="8" t="s">
        <v>1182</v>
      </c>
      <c r="X616" s="6"/>
      <c r="Y616" s="6"/>
      <c r="Z616" s="6" t="s">
        <v>48</v>
      </c>
      <c r="AA616" s="6" t="s">
        <v>122</v>
      </c>
    </row>
    <row r="617" spans="1:27" s="4" customFormat="1" ht="51.95" customHeight="1">
      <c r="A617" s="5">
        <v>0</v>
      </c>
      <c r="B617" s="6" t="s">
        <v>4114</v>
      </c>
      <c r="C617" s="7">
        <v>1984</v>
      </c>
      <c r="D617" s="8" t="s">
        <v>4115</v>
      </c>
      <c r="E617" s="8" t="s">
        <v>4116</v>
      </c>
      <c r="F617" s="8" t="s">
        <v>4117</v>
      </c>
      <c r="G617" s="6" t="s">
        <v>37</v>
      </c>
      <c r="H617" s="6" t="s">
        <v>38</v>
      </c>
      <c r="I617" s="8" t="s">
        <v>56</v>
      </c>
      <c r="J617" s="9">
        <v>1</v>
      </c>
      <c r="K617" s="9">
        <v>431</v>
      </c>
      <c r="L617" s="9">
        <v>2023</v>
      </c>
      <c r="M617" s="8" t="s">
        <v>4118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59</v>
      </c>
      <c r="S617" s="11" t="s">
        <v>4119</v>
      </c>
      <c r="T617" s="6"/>
      <c r="U617" s="28" t="str">
        <f>HYPERLINK("https://media.infra-m.ru/2053/2053242/cover/2053242.jpg", "Обложка")</f>
        <v>Обложка</v>
      </c>
      <c r="V617" s="28" t="str">
        <f>HYPERLINK("https://znanium.ru/catalog/product/1150328", "Ознакомиться")</f>
        <v>Ознакомиться</v>
      </c>
      <c r="W617" s="8" t="s">
        <v>710</v>
      </c>
      <c r="X617" s="6"/>
      <c r="Y617" s="6"/>
      <c r="Z617" s="6"/>
      <c r="AA617" s="6" t="s">
        <v>74</v>
      </c>
    </row>
    <row r="618" spans="1:27" s="4" customFormat="1" ht="51.95" customHeight="1">
      <c r="A618" s="5">
        <v>0</v>
      </c>
      <c r="B618" s="6" t="s">
        <v>4120</v>
      </c>
      <c r="C618" s="7">
        <v>1904</v>
      </c>
      <c r="D618" s="8" t="s">
        <v>4121</v>
      </c>
      <c r="E618" s="8" t="s">
        <v>4122</v>
      </c>
      <c r="F618" s="8" t="s">
        <v>4123</v>
      </c>
      <c r="G618" s="6" t="s">
        <v>66</v>
      </c>
      <c r="H618" s="6" t="s">
        <v>283</v>
      </c>
      <c r="I618" s="8" t="s">
        <v>39</v>
      </c>
      <c r="J618" s="9">
        <v>1</v>
      </c>
      <c r="K618" s="9">
        <v>414</v>
      </c>
      <c r="L618" s="9">
        <v>2024</v>
      </c>
      <c r="M618" s="8" t="s">
        <v>4124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145</v>
      </c>
      <c r="S618" s="11" t="s">
        <v>4125</v>
      </c>
      <c r="T618" s="6"/>
      <c r="U618" s="28" t="str">
        <f>HYPERLINK("https://media.infra-m.ru/2131/2131877/cover/2131877.jpg", "Обложка")</f>
        <v>Обложка</v>
      </c>
      <c r="V618" s="28" t="str">
        <f>HYPERLINK("https://znanium.ru/catalog/product/1735805", "Ознакомиться")</f>
        <v>Ознакомиться</v>
      </c>
      <c r="W618" s="8" t="s">
        <v>726</v>
      </c>
      <c r="X618" s="6"/>
      <c r="Y618" s="6"/>
      <c r="Z618" s="6"/>
      <c r="AA618" s="6" t="s">
        <v>221</v>
      </c>
    </row>
    <row r="619" spans="1:27" s="4" customFormat="1" ht="42" customHeight="1">
      <c r="A619" s="5">
        <v>0</v>
      </c>
      <c r="B619" s="6" t="s">
        <v>4126</v>
      </c>
      <c r="C619" s="7">
        <v>1520</v>
      </c>
      <c r="D619" s="8" t="s">
        <v>4127</v>
      </c>
      <c r="E619" s="8" t="s">
        <v>4128</v>
      </c>
      <c r="F619" s="8" t="s">
        <v>4129</v>
      </c>
      <c r="G619" s="6" t="s">
        <v>66</v>
      </c>
      <c r="H619" s="6" t="s">
        <v>79</v>
      </c>
      <c r="I619" s="8" t="s">
        <v>39</v>
      </c>
      <c r="J619" s="9">
        <v>1</v>
      </c>
      <c r="K619" s="9">
        <v>314</v>
      </c>
      <c r="L619" s="9">
        <v>2024</v>
      </c>
      <c r="M619" s="8" t="s">
        <v>4130</v>
      </c>
      <c r="N619" s="8" t="s">
        <v>118</v>
      </c>
      <c r="O619" s="8" t="s">
        <v>403</v>
      </c>
      <c r="P619" s="6" t="s">
        <v>70</v>
      </c>
      <c r="Q619" s="8" t="s">
        <v>44</v>
      </c>
      <c r="R619" s="10" t="s">
        <v>768</v>
      </c>
      <c r="S619" s="11"/>
      <c r="T619" s="6"/>
      <c r="U619" s="28" t="str">
        <f>HYPERLINK("https://media.infra-m.ru/2135/2135418/cover/2135418.jpg", "Обложка")</f>
        <v>Обложка</v>
      </c>
      <c r="V619" s="28" t="str">
        <f>HYPERLINK("https://znanium.ru/catalog/product/2135418", "Ознакомиться")</f>
        <v>Ознакомиться</v>
      </c>
      <c r="W619" s="8" t="s">
        <v>60</v>
      </c>
      <c r="X619" s="6"/>
      <c r="Y619" s="6"/>
      <c r="Z619" s="6"/>
      <c r="AA619" s="6" t="s">
        <v>339</v>
      </c>
    </row>
    <row r="620" spans="1:27" s="4" customFormat="1" ht="42" customHeight="1">
      <c r="A620" s="5">
        <v>0</v>
      </c>
      <c r="B620" s="6" t="s">
        <v>4131</v>
      </c>
      <c r="C620" s="7">
        <v>1450</v>
      </c>
      <c r="D620" s="8" t="s">
        <v>4132</v>
      </c>
      <c r="E620" s="8" t="s">
        <v>4133</v>
      </c>
      <c r="F620" s="8" t="s">
        <v>4134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306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HYPERLINK("https://media.infra-m.ru/1915/1915793/cover/1915793.jpg", "Обложка")</f>
        <v>Обложка</v>
      </c>
      <c r="V620" s="28" t="str">
        <f>HYPERLINK("https://znanium.ru/catalog/product/1915793", "Ознакомиться")</f>
        <v>Ознакомиться</v>
      </c>
      <c r="W620" s="8" t="s">
        <v>4136</v>
      </c>
      <c r="X620" s="6" t="s">
        <v>597</v>
      </c>
      <c r="Y620" s="6"/>
      <c r="Z620" s="6"/>
      <c r="AA620" s="6" t="s">
        <v>339</v>
      </c>
    </row>
    <row r="621" spans="1:27" s="4" customFormat="1" ht="51.95" customHeight="1">
      <c r="A621" s="5">
        <v>0</v>
      </c>
      <c r="B621" s="6" t="s">
        <v>4137</v>
      </c>
      <c r="C621" s="7">
        <v>1250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265</v>
      </c>
      <c r="L621" s="9">
        <v>2023</v>
      </c>
      <c r="M621" s="8" t="s">
        <v>4141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4142</v>
      </c>
      <c r="S621" s="11" t="s">
        <v>4143</v>
      </c>
      <c r="T621" s="6"/>
      <c r="U621" s="28" t="str">
        <f>HYPERLINK("https://media.infra-m.ru/1860/1860498/cover/1860498.jpg", "Обложка")</f>
        <v>Обложка</v>
      </c>
      <c r="V621" s="28" t="str">
        <f>HYPERLINK("https://znanium.ru/catalog/product/1860498", "Ознакомиться")</f>
        <v>Ознакомиться</v>
      </c>
      <c r="W621" s="8" t="s">
        <v>1945</v>
      </c>
      <c r="X621" s="6"/>
      <c r="Y621" s="6"/>
      <c r="Z621" s="6"/>
      <c r="AA621" s="6" t="s">
        <v>85</v>
      </c>
    </row>
    <row r="622" spans="1:27" s="4" customFormat="1" ht="51.95" customHeight="1">
      <c r="A622" s="5">
        <v>0</v>
      </c>
      <c r="B622" s="6" t="s">
        <v>4144</v>
      </c>
      <c r="C622" s="7">
        <v>1050</v>
      </c>
      <c r="D622" s="8" t="s">
        <v>4145</v>
      </c>
      <c r="E622" s="8" t="s">
        <v>4139</v>
      </c>
      <c r="F622" s="8" t="s">
        <v>4146</v>
      </c>
      <c r="G622" s="6" t="s">
        <v>66</v>
      </c>
      <c r="H622" s="6" t="s">
        <v>79</v>
      </c>
      <c r="I622" s="8" t="s">
        <v>39</v>
      </c>
      <c r="J622" s="9">
        <v>1</v>
      </c>
      <c r="K622" s="9">
        <v>220</v>
      </c>
      <c r="L622" s="9">
        <v>2024</v>
      </c>
      <c r="M622" s="8" t="s">
        <v>4147</v>
      </c>
      <c r="N622" s="8" t="s">
        <v>118</v>
      </c>
      <c r="O622" s="8" t="s">
        <v>403</v>
      </c>
      <c r="P622" s="6" t="s">
        <v>43</v>
      </c>
      <c r="Q622" s="8" t="s">
        <v>44</v>
      </c>
      <c r="R622" s="10" t="s">
        <v>768</v>
      </c>
      <c r="S622" s="11" t="s">
        <v>4148</v>
      </c>
      <c r="T622" s="6"/>
      <c r="U622" s="28" t="str">
        <f>HYPERLINK("https://media.infra-m.ru/2131/2131875/cover/2131875.jpg", "Обложка")</f>
        <v>Обложка</v>
      </c>
      <c r="V622" s="28" t="str">
        <f>HYPERLINK("https://znanium.ru/catalog/product/2131875", "Ознакомиться")</f>
        <v>Ознакомиться</v>
      </c>
      <c r="W622" s="8" t="s">
        <v>3739</v>
      </c>
      <c r="X622" s="6"/>
      <c r="Y622" s="6"/>
      <c r="Z622" s="6"/>
      <c r="AA622" s="6" t="s">
        <v>85</v>
      </c>
    </row>
    <row r="623" spans="1:27" s="4" customFormat="1" ht="42" customHeight="1">
      <c r="A623" s="5">
        <v>0</v>
      </c>
      <c r="B623" s="6" t="s">
        <v>4149</v>
      </c>
      <c r="C623" s="7">
        <v>1360</v>
      </c>
      <c r="D623" s="8" t="s">
        <v>4150</v>
      </c>
      <c r="E623" s="8" t="s">
        <v>4151</v>
      </c>
      <c r="F623" s="8" t="s">
        <v>4152</v>
      </c>
      <c r="G623" s="6" t="s">
        <v>66</v>
      </c>
      <c r="H623" s="6" t="s">
        <v>55</v>
      </c>
      <c r="I623" s="8" t="s">
        <v>56</v>
      </c>
      <c r="J623" s="9">
        <v>1</v>
      </c>
      <c r="K623" s="9">
        <v>296</v>
      </c>
      <c r="L623" s="9">
        <v>2024</v>
      </c>
      <c r="M623" s="8" t="s">
        <v>4153</v>
      </c>
      <c r="N623" s="8" t="s">
        <v>68</v>
      </c>
      <c r="O623" s="8" t="s">
        <v>699</v>
      </c>
      <c r="P623" s="6" t="s">
        <v>70</v>
      </c>
      <c r="Q623" s="8" t="s">
        <v>44</v>
      </c>
      <c r="R623" s="10" t="s">
        <v>2485</v>
      </c>
      <c r="S623" s="11"/>
      <c r="T623" s="6"/>
      <c r="U623" s="28" t="str">
        <f>HYPERLINK("https://media.infra-m.ru/2062/2062316/cover/2062316.jpg", "Обложка")</f>
        <v>Обложка</v>
      </c>
      <c r="V623" s="28" t="str">
        <f>HYPERLINK("https://znanium.ru/catalog/product/2062316", "Ознакомиться")</f>
        <v>Ознакомиться</v>
      </c>
      <c r="W623" s="8" t="s">
        <v>4154</v>
      </c>
      <c r="X623" s="6"/>
      <c r="Y623" s="6"/>
      <c r="Z623" s="6" t="s">
        <v>48</v>
      </c>
      <c r="AA623" s="6" t="s">
        <v>656</v>
      </c>
    </row>
    <row r="624" spans="1:27" s="4" customFormat="1" ht="42" customHeight="1">
      <c r="A624" s="5">
        <v>0</v>
      </c>
      <c r="B624" s="6" t="s">
        <v>4155</v>
      </c>
      <c r="C624" s="7">
        <v>1294</v>
      </c>
      <c r="D624" s="8" t="s">
        <v>4156</v>
      </c>
      <c r="E624" s="8" t="s">
        <v>4157</v>
      </c>
      <c r="F624" s="8" t="s">
        <v>4158</v>
      </c>
      <c r="G624" s="6" t="s">
        <v>66</v>
      </c>
      <c r="H624" s="6" t="s">
        <v>716</v>
      </c>
      <c r="I624" s="8"/>
      <c r="J624" s="9">
        <v>1</v>
      </c>
      <c r="K624" s="9">
        <v>288</v>
      </c>
      <c r="L624" s="9">
        <v>2023</v>
      </c>
      <c r="M624" s="8" t="s">
        <v>4159</v>
      </c>
      <c r="N624" s="8" t="s">
        <v>41</v>
      </c>
      <c r="O624" s="8" t="s">
        <v>42</v>
      </c>
      <c r="P624" s="6" t="s">
        <v>70</v>
      </c>
      <c r="Q624" s="8" t="s">
        <v>44</v>
      </c>
      <c r="R624" s="10" t="s">
        <v>4160</v>
      </c>
      <c r="S624" s="11"/>
      <c r="T624" s="6"/>
      <c r="U624" s="28" t="str">
        <f>HYPERLINK("https://media.infra-m.ru/2006/2006039/cover/2006039.jpg", "Обложка")</f>
        <v>Обложка</v>
      </c>
      <c r="V624" s="28" t="str">
        <f>HYPERLINK("https://znanium.ru/catalog/product/1460280", "Ознакомиться")</f>
        <v>Ознакомиться</v>
      </c>
      <c r="W624" s="8" t="s">
        <v>719</v>
      </c>
      <c r="X624" s="6"/>
      <c r="Y624" s="6"/>
      <c r="Z624" s="6"/>
      <c r="AA624" s="6" t="s">
        <v>671</v>
      </c>
    </row>
    <row r="625" spans="1:27" s="4" customFormat="1" ht="51.95" customHeight="1">
      <c r="A625" s="5">
        <v>0</v>
      </c>
      <c r="B625" s="6" t="s">
        <v>4161</v>
      </c>
      <c r="C625" s="13">
        <v>820</v>
      </c>
      <c r="D625" s="8" t="s">
        <v>4162</v>
      </c>
      <c r="E625" s="8" t="s">
        <v>4163</v>
      </c>
      <c r="F625" s="8" t="s">
        <v>3839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183</v>
      </c>
      <c r="L625" s="9">
        <v>2023</v>
      </c>
      <c r="M625" s="8" t="s">
        <v>4164</v>
      </c>
      <c r="N625" s="8" t="s">
        <v>118</v>
      </c>
      <c r="O625" s="8" t="s">
        <v>403</v>
      </c>
      <c r="P625" s="6" t="s">
        <v>70</v>
      </c>
      <c r="Q625" s="8" t="s">
        <v>44</v>
      </c>
      <c r="R625" s="10" t="s">
        <v>547</v>
      </c>
      <c r="S625" s="11" t="s">
        <v>4165</v>
      </c>
      <c r="T625" s="6" t="s">
        <v>110</v>
      </c>
      <c r="U625" s="28" t="str">
        <f>HYPERLINK("https://media.infra-m.ru/1965/1965770/cover/1965770.jpg", "Обложка")</f>
        <v>Обложка</v>
      </c>
      <c r="V625" s="28" t="str">
        <f>HYPERLINK("https://znanium.ru/catalog/product/1965770", "Ознакомиться")</f>
        <v>Ознакомиться</v>
      </c>
      <c r="W625" s="8" t="s">
        <v>3842</v>
      </c>
      <c r="X625" s="6"/>
      <c r="Y625" s="6"/>
      <c r="Z625" s="6"/>
      <c r="AA625" s="6" t="s">
        <v>656</v>
      </c>
    </row>
    <row r="626" spans="1:27" s="4" customFormat="1" ht="51.95" customHeight="1">
      <c r="A626" s="5">
        <v>0</v>
      </c>
      <c r="B626" s="6" t="s">
        <v>4166</v>
      </c>
      <c r="C626" s="13">
        <v>720</v>
      </c>
      <c r="D626" s="8" t="s">
        <v>4167</v>
      </c>
      <c r="E626" s="8" t="s">
        <v>4168</v>
      </c>
      <c r="F626" s="8" t="s">
        <v>4169</v>
      </c>
      <c r="G626" s="6" t="s">
        <v>54</v>
      </c>
      <c r="H626" s="6" t="s">
        <v>38</v>
      </c>
      <c r="I626" s="8" t="s">
        <v>56</v>
      </c>
      <c r="J626" s="9">
        <v>1</v>
      </c>
      <c r="K626" s="9">
        <v>216</v>
      </c>
      <c r="L626" s="9">
        <v>2019</v>
      </c>
      <c r="M626" s="8" t="s">
        <v>4170</v>
      </c>
      <c r="N626" s="8" t="s">
        <v>118</v>
      </c>
      <c r="O626" s="8" t="s">
        <v>403</v>
      </c>
      <c r="P626" s="6" t="s">
        <v>43</v>
      </c>
      <c r="Q626" s="8" t="s">
        <v>44</v>
      </c>
      <c r="R626" s="10" t="s">
        <v>547</v>
      </c>
      <c r="S626" s="11" t="s">
        <v>4171</v>
      </c>
      <c r="T626" s="6"/>
      <c r="U626" s="28" t="str">
        <f>HYPERLINK("https://media.infra-m.ru/1007/1007646/cover/1007646.jpg", "Обложка")</f>
        <v>Обложка</v>
      </c>
      <c r="V626" s="28" t="str">
        <f>HYPERLINK("https://znanium.ru/catalog/product/1007646", "Ознакомиться")</f>
        <v>Ознакомиться</v>
      </c>
      <c r="W626" s="8" t="s">
        <v>83</v>
      </c>
      <c r="X626" s="6"/>
      <c r="Y626" s="6"/>
      <c r="Z626" s="6"/>
      <c r="AA626" s="6" t="s">
        <v>2858</v>
      </c>
    </row>
    <row r="627" spans="1:27" s="4" customFormat="1" ht="51.95" customHeight="1">
      <c r="A627" s="5">
        <v>0</v>
      </c>
      <c r="B627" s="6" t="s">
        <v>4172</v>
      </c>
      <c r="C627" s="7">
        <v>1314</v>
      </c>
      <c r="D627" s="8" t="s">
        <v>4173</v>
      </c>
      <c r="E627" s="8" t="s">
        <v>4174</v>
      </c>
      <c r="F627" s="8" t="s">
        <v>2759</v>
      </c>
      <c r="G627" s="6" t="s">
        <v>37</v>
      </c>
      <c r="H627" s="6" t="s">
        <v>38</v>
      </c>
      <c r="I627" s="8" t="s">
        <v>56</v>
      </c>
      <c r="J627" s="9">
        <v>1</v>
      </c>
      <c r="K627" s="9">
        <v>286</v>
      </c>
      <c r="L627" s="9">
        <v>2024</v>
      </c>
      <c r="M627" s="8" t="s">
        <v>4175</v>
      </c>
      <c r="N627" s="8" t="s">
        <v>118</v>
      </c>
      <c r="O627" s="8" t="s">
        <v>403</v>
      </c>
      <c r="P627" s="6" t="s">
        <v>70</v>
      </c>
      <c r="Q627" s="8" t="s">
        <v>44</v>
      </c>
      <c r="R627" s="10" t="s">
        <v>547</v>
      </c>
      <c r="S627" s="11" t="s">
        <v>487</v>
      </c>
      <c r="T627" s="6"/>
      <c r="U627" s="28" t="str">
        <f>HYPERLINK("https://media.infra-m.ru/2129/2129168/cover/2129168.jpg", "Обложка")</f>
        <v>Обложка</v>
      </c>
      <c r="V627" s="12"/>
      <c r="W627" s="8" t="s">
        <v>60</v>
      </c>
      <c r="X627" s="6"/>
      <c r="Y627" s="6"/>
      <c r="Z627" s="6"/>
      <c r="AA627" s="6" t="s">
        <v>297</v>
      </c>
    </row>
    <row r="628" spans="1:27" s="4" customFormat="1" ht="51.95" customHeight="1">
      <c r="A628" s="5">
        <v>0</v>
      </c>
      <c r="B628" s="6" t="s">
        <v>4176</v>
      </c>
      <c r="C628" s="7">
        <v>1994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866</v>
      </c>
      <c r="I628" s="8" t="s">
        <v>867</v>
      </c>
      <c r="J628" s="9">
        <v>1</v>
      </c>
      <c r="K628" s="9">
        <v>446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43</v>
      </c>
      <c r="Q628" s="8" t="s">
        <v>44</v>
      </c>
      <c r="R628" s="10" t="s">
        <v>547</v>
      </c>
      <c r="S628" s="11" t="s">
        <v>870</v>
      </c>
      <c r="T628" s="6"/>
      <c r="U628" s="28" t="str">
        <f>HYPERLINK("https://media.infra-m.ru/2056/2056803/cover/2056803.jpg", "Обложка")</f>
        <v>Обложка</v>
      </c>
      <c r="V628" s="28" t="str">
        <f>HYPERLINK("https://znanium.ru/catalog/product/1834708", "Ознакомиться")</f>
        <v>Ознакомиться</v>
      </c>
      <c r="W628" s="8" t="s">
        <v>871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4181</v>
      </c>
      <c r="C629" s="7">
        <v>1340</v>
      </c>
      <c r="D629" s="8" t="s">
        <v>4182</v>
      </c>
      <c r="E629" s="8" t="s">
        <v>4174</v>
      </c>
      <c r="F629" s="8" t="s">
        <v>879</v>
      </c>
      <c r="G629" s="6" t="s">
        <v>66</v>
      </c>
      <c r="H629" s="6" t="s">
        <v>283</v>
      </c>
      <c r="I629" s="8" t="s">
        <v>56</v>
      </c>
      <c r="J629" s="9">
        <v>1</v>
      </c>
      <c r="K629" s="9">
        <v>288</v>
      </c>
      <c r="L629" s="9">
        <v>2024</v>
      </c>
      <c r="M629" s="8" t="s">
        <v>4183</v>
      </c>
      <c r="N629" s="8" t="s">
        <v>118</v>
      </c>
      <c r="O629" s="8" t="s">
        <v>403</v>
      </c>
      <c r="P629" s="6" t="s">
        <v>70</v>
      </c>
      <c r="Q629" s="8" t="s">
        <v>44</v>
      </c>
      <c r="R629" s="10" t="s">
        <v>547</v>
      </c>
      <c r="S629" s="11" t="s">
        <v>854</v>
      </c>
      <c r="T629" s="6"/>
      <c r="U629" s="28" t="str">
        <f>HYPERLINK("https://media.infra-m.ru/2123/2123894/cover/2123894.jpg", "Обложка")</f>
        <v>Обложка</v>
      </c>
      <c r="V629" s="28" t="str">
        <f>HYPERLINK("https://znanium.ru/catalog/product/2123894", "Ознакомиться")</f>
        <v>Ознакомиться</v>
      </c>
      <c r="W629" s="8" t="s">
        <v>83</v>
      </c>
      <c r="X629" s="6"/>
      <c r="Y629" s="6"/>
      <c r="Z629" s="6"/>
      <c r="AA629" s="6" t="s">
        <v>702</v>
      </c>
    </row>
    <row r="630" spans="1:27" s="4" customFormat="1" ht="51.95" customHeight="1">
      <c r="A630" s="5">
        <v>0</v>
      </c>
      <c r="B630" s="6" t="s">
        <v>4184</v>
      </c>
      <c r="C630" s="13">
        <v>660</v>
      </c>
      <c r="D630" s="8" t="s">
        <v>4185</v>
      </c>
      <c r="E630" s="8" t="s">
        <v>4186</v>
      </c>
      <c r="F630" s="8" t="s">
        <v>4187</v>
      </c>
      <c r="G630" s="6" t="s">
        <v>54</v>
      </c>
      <c r="H630" s="6" t="s">
        <v>79</v>
      </c>
      <c r="I630" s="8" t="s">
        <v>39</v>
      </c>
      <c r="J630" s="9">
        <v>1</v>
      </c>
      <c r="K630" s="9">
        <v>141</v>
      </c>
      <c r="L630" s="9">
        <v>2024</v>
      </c>
      <c r="M630" s="8" t="s">
        <v>4188</v>
      </c>
      <c r="N630" s="8" t="s">
        <v>68</v>
      </c>
      <c r="O630" s="8" t="s">
        <v>699</v>
      </c>
      <c r="P630" s="6" t="s">
        <v>43</v>
      </c>
      <c r="Q630" s="8" t="s">
        <v>44</v>
      </c>
      <c r="R630" s="10" t="s">
        <v>4189</v>
      </c>
      <c r="S630" s="11" t="s">
        <v>4190</v>
      </c>
      <c r="T630" s="6"/>
      <c r="U630" s="28" t="str">
        <f>HYPERLINK("https://media.infra-m.ru/2103/2103724/cover/2103724.jpg", "Обложка")</f>
        <v>Обложка</v>
      </c>
      <c r="V630" s="28" t="str">
        <f>HYPERLINK("https://znanium.ru/catalog/product/2103724", "Ознакомиться")</f>
        <v>Ознакомиться</v>
      </c>
      <c r="W630" s="8" t="s">
        <v>3412</v>
      </c>
      <c r="X630" s="6"/>
      <c r="Y630" s="6"/>
      <c r="Z630" s="6" t="s">
        <v>48</v>
      </c>
      <c r="AA630" s="6" t="s">
        <v>94</v>
      </c>
    </row>
    <row r="631" spans="1:27" s="4" customFormat="1" ht="51.95" customHeight="1">
      <c r="A631" s="5">
        <v>0</v>
      </c>
      <c r="B631" s="6" t="s">
        <v>4191</v>
      </c>
      <c r="C631" s="7">
        <v>1300</v>
      </c>
      <c r="D631" s="8" t="s">
        <v>4192</v>
      </c>
      <c r="E631" s="8" t="s">
        <v>4193</v>
      </c>
      <c r="F631" s="8" t="s">
        <v>4194</v>
      </c>
      <c r="G631" s="6" t="s">
        <v>37</v>
      </c>
      <c r="H631" s="6" t="s">
        <v>79</v>
      </c>
      <c r="I631" s="8" t="s">
        <v>529</v>
      </c>
      <c r="J631" s="9">
        <v>1</v>
      </c>
      <c r="K631" s="9">
        <v>287</v>
      </c>
      <c r="L631" s="9">
        <v>2023</v>
      </c>
      <c r="M631" s="8" t="s">
        <v>4195</v>
      </c>
      <c r="N631" s="8" t="s">
        <v>504</v>
      </c>
      <c r="O631" s="8" t="s">
        <v>927</v>
      </c>
      <c r="P631" s="6" t="s">
        <v>43</v>
      </c>
      <c r="Q631" s="8" t="s">
        <v>44</v>
      </c>
      <c r="R631" s="10" t="s">
        <v>4196</v>
      </c>
      <c r="S631" s="11" t="s">
        <v>4197</v>
      </c>
      <c r="T631" s="6"/>
      <c r="U631" s="28" t="str">
        <f>HYPERLINK("https://media.infra-m.ru/1911/1911603/cover/1911603.jpg", "Обложка")</f>
        <v>Обложка</v>
      </c>
      <c r="V631" s="28" t="str">
        <f>HYPERLINK("https://znanium.ru/catalog/product/1911603", "Ознакомиться")</f>
        <v>Ознакомиться</v>
      </c>
      <c r="W631" s="8" t="s">
        <v>4198</v>
      </c>
      <c r="X631" s="6"/>
      <c r="Y631" s="6"/>
      <c r="Z631" s="6"/>
      <c r="AA631" s="6" t="s">
        <v>85</v>
      </c>
    </row>
    <row r="632" spans="1:27" s="4" customFormat="1" ht="51.95" customHeight="1">
      <c r="A632" s="5">
        <v>0</v>
      </c>
      <c r="B632" s="6" t="s">
        <v>4199</v>
      </c>
      <c r="C632" s="7">
        <v>1480</v>
      </c>
      <c r="D632" s="8" t="s">
        <v>4200</v>
      </c>
      <c r="E632" s="8" t="s">
        <v>4201</v>
      </c>
      <c r="F632" s="8" t="s">
        <v>4202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328</v>
      </c>
      <c r="L632" s="9">
        <v>2023</v>
      </c>
      <c r="M632" s="8" t="s">
        <v>4203</v>
      </c>
      <c r="N632" s="8" t="s">
        <v>118</v>
      </c>
      <c r="O632" s="8" t="s">
        <v>1232</v>
      </c>
      <c r="P632" s="6" t="s">
        <v>43</v>
      </c>
      <c r="Q632" s="8" t="s">
        <v>44</v>
      </c>
      <c r="R632" s="10" t="s">
        <v>4196</v>
      </c>
      <c r="S632" s="11" t="s">
        <v>4197</v>
      </c>
      <c r="T632" s="6"/>
      <c r="U632" s="28" t="str">
        <f>HYPERLINK("https://media.infra-m.ru/1911/1911602/cover/1911602.jpg", "Обложка")</f>
        <v>Обложка</v>
      </c>
      <c r="V632" s="28" t="str">
        <f>HYPERLINK("https://znanium.ru/catalog/product/1911602", "Ознакомиться")</f>
        <v>Ознакомиться</v>
      </c>
      <c r="W632" s="8" t="s">
        <v>4198</v>
      </c>
      <c r="X632" s="6"/>
      <c r="Y632" s="6"/>
      <c r="Z632" s="6"/>
      <c r="AA632" s="6" t="s">
        <v>85</v>
      </c>
    </row>
    <row r="633" spans="1:27" s="4" customFormat="1" ht="42" customHeight="1">
      <c r="A633" s="5">
        <v>0</v>
      </c>
      <c r="B633" s="6" t="s">
        <v>4204</v>
      </c>
      <c r="C633" s="13">
        <v>830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39</v>
      </c>
      <c r="J633" s="9">
        <v>1</v>
      </c>
      <c r="K633" s="9">
        <v>170</v>
      </c>
      <c r="L633" s="9">
        <v>2024</v>
      </c>
      <c r="M633" s="8" t="s">
        <v>4208</v>
      </c>
      <c r="N633" s="8" t="s">
        <v>118</v>
      </c>
      <c r="O633" s="8" t="s">
        <v>1459</v>
      </c>
      <c r="P633" s="6" t="s">
        <v>43</v>
      </c>
      <c r="Q633" s="8" t="s">
        <v>44</v>
      </c>
      <c r="R633" s="10" t="s">
        <v>4209</v>
      </c>
      <c r="S633" s="11"/>
      <c r="T633" s="6"/>
      <c r="U633" s="28" t="str">
        <f>HYPERLINK("https://media.infra-m.ru/2004/2004282/cover/2004282.jpg", "Обложка")</f>
        <v>Обложка</v>
      </c>
      <c r="V633" s="28" t="str">
        <f>HYPERLINK("https://znanium.ru/catalog/product/2004282", "Ознакомиться")</f>
        <v>Ознакомиться</v>
      </c>
      <c r="W633" s="8" t="s">
        <v>4210</v>
      </c>
      <c r="X633" s="6" t="s">
        <v>1567</v>
      </c>
      <c r="Y633" s="6"/>
      <c r="Z633" s="6"/>
      <c r="AA633" s="6" t="s">
        <v>339</v>
      </c>
    </row>
    <row r="634" spans="1:27" s="4" customFormat="1" ht="51.95" customHeight="1">
      <c r="A634" s="5">
        <v>0</v>
      </c>
      <c r="B634" s="6" t="s">
        <v>4211</v>
      </c>
      <c r="C634" s="7">
        <v>1560</v>
      </c>
      <c r="D634" s="8" t="s">
        <v>4212</v>
      </c>
      <c r="E634" s="8" t="s">
        <v>4213</v>
      </c>
      <c r="F634" s="8" t="s">
        <v>4214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346</v>
      </c>
      <c r="L634" s="9">
        <v>2023</v>
      </c>
      <c r="M634" s="8" t="s">
        <v>4215</v>
      </c>
      <c r="N634" s="8" t="s">
        <v>118</v>
      </c>
      <c r="O634" s="8" t="s">
        <v>403</v>
      </c>
      <c r="P634" s="6" t="s">
        <v>70</v>
      </c>
      <c r="Q634" s="8" t="s">
        <v>44</v>
      </c>
      <c r="R634" s="10" t="s">
        <v>4216</v>
      </c>
      <c r="S634" s="11" t="s">
        <v>4217</v>
      </c>
      <c r="T634" s="6"/>
      <c r="U634" s="28" t="str">
        <f>HYPERLINK("https://media.infra-m.ru/1911/1911734/cover/1911734.jpg", "Обложка")</f>
        <v>Обложка</v>
      </c>
      <c r="V634" s="28" t="str">
        <f>HYPERLINK("https://znanium.ru/catalog/product/1911734", "Ознакомиться")</f>
        <v>Ознакомиться</v>
      </c>
      <c r="W634" s="8" t="s">
        <v>1488</v>
      </c>
      <c r="X634" s="6"/>
      <c r="Y634" s="6"/>
      <c r="Z634" s="6"/>
      <c r="AA634" s="6" t="s">
        <v>94</v>
      </c>
    </row>
    <row r="635" spans="1:27" s="4" customFormat="1" ht="42" customHeight="1">
      <c r="A635" s="5">
        <v>0</v>
      </c>
      <c r="B635" s="6" t="s">
        <v>4218</v>
      </c>
      <c r="C635" s="7">
        <v>1240</v>
      </c>
      <c r="D635" s="8" t="s">
        <v>4219</v>
      </c>
      <c r="E635" s="8" t="s">
        <v>4213</v>
      </c>
      <c r="F635" s="8" t="s">
        <v>4220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251</v>
      </c>
      <c r="L635" s="9">
        <v>2024</v>
      </c>
      <c r="M635" s="8" t="s">
        <v>4221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4222</v>
      </c>
      <c r="S635" s="11"/>
      <c r="T635" s="6"/>
      <c r="U635" s="28" t="str">
        <f>HYPERLINK("https://media.infra-m.ru/1913/1913538/cover/1913538.jpg", "Обложка")</f>
        <v>Обложка</v>
      </c>
      <c r="V635" s="28" t="str">
        <f>HYPERLINK("https://znanium.ru/catalog/product/1913538", "Ознакомиться")</f>
        <v>Ознакомиться</v>
      </c>
      <c r="W635" s="8" t="s">
        <v>3842</v>
      </c>
      <c r="X635" s="6" t="s">
        <v>542</v>
      </c>
      <c r="Y635" s="6"/>
      <c r="Z635" s="6"/>
      <c r="AA635" s="6" t="s">
        <v>339</v>
      </c>
    </row>
    <row r="636" spans="1:27" s="4" customFormat="1" ht="51.95" customHeight="1">
      <c r="A636" s="5">
        <v>0</v>
      </c>
      <c r="B636" s="6" t="s">
        <v>4223</v>
      </c>
      <c r="C636" s="13">
        <v>744.9</v>
      </c>
      <c r="D636" s="8" t="s">
        <v>4224</v>
      </c>
      <c r="E636" s="8" t="s">
        <v>4225</v>
      </c>
      <c r="F636" s="8" t="s">
        <v>4226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165</v>
      </c>
      <c r="L636" s="9">
        <v>2023</v>
      </c>
      <c r="M636" s="8" t="s">
        <v>4227</v>
      </c>
      <c r="N636" s="8" t="s">
        <v>118</v>
      </c>
      <c r="O636" s="8" t="s">
        <v>119</v>
      </c>
      <c r="P636" s="6" t="s">
        <v>43</v>
      </c>
      <c r="Q636" s="8" t="s">
        <v>44</v>
      </c>
      <c r="R636" s="10" t="s">
        <v>429</v>
      </c>
      <c r="S636" s="11" t="s">
        <v>4228</v>
      </c>
      <c r="T636" s="6" t="s">
        <v>110</v>
      </c>
      <c r="U636" s="28" t="str">
        <f>HYPERLINK("https://media.infra-m.ru/1964/1964974/cover/1964974.jpg", "Обложка")</f>
        <v>Обложка</v>
      </c>
      <c r="V636" s="28" t="str">
        <f>HYPERLINK("https://znanium.ru/catalog/product/1013021", "Ознакомиться")</f>
        <v>Ознакомиться</v>
      </c>
      <c r="W636" s="8" t="s">
        <v>313</v>
      </c>
      <c r="X636" s="6"/>
      <c r="Y636" s="6"/>
      <c r="Z636" s="6"/>
      <c r="AA636" s="6" t="s">
        <v>656</v>
      </c>
    </row>
    <row r="637" spans="1:27" s="4" customFormat="1" ht="51.95" customHeight="1">
      <c r="A637" s="5">
        <v>0</v>
      </c>
      <c r="B637" s="6" t="s">
        <v>4229</v>
      </c>
      <c r="C637" s="7">
        <v>1250</v>
      </c>
      <c r="D637" s="8" t="s">
        <v>4230</v>
      </c>
      <c r="E637" s="8" t="s">
        <v>4231</v>
      </c>
      <c r="F637" s="8" t="s">
        <v>4232</v>
      </c>
      <c r="G637" s="6" t="s">
        <v>66</v>
      </c>
      <c r="H637" s="6" t="s">
        <v>79</v>
      </c>
      <c r="I637" s="8" t="s">
        <v>529</v>
      </c>
      <c r="J637" s="9">
        <v>1</v>
      </c>
      <c r="K637" s="9">
        <v>256</v>
      </c>
      <c r="L637" s="9">
        <v>2024</v>
      </c>
      <c r="M637" s="8" t="s">
        <v>4233</v>
      </c>
      <c r="N637" s="8" t="s">
        <v>504</v>
      </c>
      <c r="O637" s="8" t="s">
        <v>948</v>
      </c>
      <c r="P637" s="6" t="s">
        <v>43</v>
      </c>
      <c r="Q637" s="8" t="s">
        <v>44</v>
      </c>
      <c r="R637" s="10" t="s">
        <v>1260</v>
      </c>
      <c r="S637" s="11" t="s">
        <v>4234</v>
      </c>
      <c r="T637" s="6" t="s">
        <v>110</v>
      </c>
      <c r="U637" s="28" t="str">
        <f>HYPERLINK("https://media.infra-m.ru/2113/2113865/cover/2113865.jpg", "Обложка")</f>
        <v>Обложка</v>
      </c>
      <c r="V637" s="28" t="str">
        <f>HYPERLINK("https://znanium.ru/catalog/product/2113865", "Ознакомиться")</f>
        <v>Ознакомиться</v>
      </c>
      <c r="W637" s="8" t="s">
        <v>2077</v>
      </c>
      <c r="X637" s="6"/>
      <c r="Y637" s="6"/>
      <c r="Z637" s="6" t="s">
        <v>1138</v>
      </c>
      <c r="AA637" s="6" t="s">
        <v>213</v>
      </c>
    </row>
    <row r="638" spans="1:27" s="4" customFormat="1" ht="51.95" customHeight="1">
      <c r="A638" s="5">
        <v>0</v>
      </c>
      <c r="B638" s="6" t="s">
        <v>4235</v>
      </c>
      <c r="C638" s="7">
        <v>2350</v>
      </c>
      <c r="D638" s="8" t="s">
        <v>4236</v>
      </c>
      <c r="E638" s="8" t="s">
        <v>4237</v>
      </c>
      <c r="F638" s="8" t="s">
        <v>4238</v>
      </c>
      <c r="G638" s="6" t="s">
        <v>66</v>
      </c>
      <c r="H638" s="6" t="s">
        <v>38</v>
      </c>
      <c r="I638" s="8" t="s">
        <v>56</v>
      </c>
      <c r="J638" s="9">
        <v>1</v>
      </c>
      <c r="K638" s="9">
        <v>384</v>
      </c>
      <c r="L638" s="9">
        <v>2024</v>
      </c>
      <c r="M638" s="8" t="s">
        <v>4239</v>
      </c>
      <c r="N638" s="8" t="s">
        <v>118</v>
      </c>
      <c r="O638" s="8" t="s">
        <v>1232</v>
      </c>
      <c r="P638" s="6" t="s">
        <v>70</v>
      </c>
      <c r="Q638" s="8" t="s">
        <v>44</v>
      </c>
      <c r="R638" s="10" t="s">
        <v>4240</v>
      </c>
      <c r="S638" s="11" t="s">
        <v>4241</v>
      </c>
      <c r="T638" s="6"/>
      <c r="U638" s="28" t="str">
        <f>HYPERLINK("https://media.infra-m.ru/2131/2131539/cover/2131539.jpg", "Обложка")</f>
        <v>Обложка</v>
      </c>
      <c r="V638" s="28" t="str">
        <f>HYPERLINK("https://znanium.ru/catalog/product/2131539", "Ознакомиться")</f>
        <v>Ознакомиться</v>
      </c>
      <c r="W638" s="8" t="s">
        <v>4242</v>
      </c>
      <c r="X638" s="6"/>
      <c r="Y638" s="6" t="s">
        <v>30</v>
      </c>
      <c r="Z638" s="6"/>
      <c r="AA638" s="6" t="s">
        <v>1780</v>
      </c>
    </row>
    <row r="639" spans="1:27" s="4" customFormat="1" ht="51.95" customHeight="1">
      <c r="A639" s="5">
        <v>0</v>
      </c>
      <c r="B639" s="6" t="s">
        <v>4243</v>
      </c>
      <c r="C639" s="7">
        <v>1074.9000000000001</v>
      </c>
      <c r="D639" s="8" t="s">
        <v>4244</v>
      </c>
      <c r="E639" s="8" t="s">
        <v>4245</v>
      </c>
      <c r="F639" s="8" t="s">
        <v>4246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238</v>
      </c>
      <c r="L639" s="9">
        <v>2023</v>
      </c>
      <c r="M639" s="8" t="s">
        <v>4247</v>
      </c>
      <c r="N639" s="8" t="s">
        <v>41</v>
      </c>
      <c r="O639" s="8" t="s">
        <v>303</v>
      </c>
      <c r="P639" s="6" t="s">
        <v>43</v>
      </c>
      <c r="Q639" s="8" t="s">
        <v>44</v>
      </c>
      <c r="R639" s="10" t="s">
        <v>4248</v>
      </c>
      <c r="S639" s="11" t="s">
        <v>4249</v>
      </c>
      <c r="T639" s="6"/>
      <c r="U639" s="28" t="str">
        <f>HYPERLINK("https://media.infra-m.ru/2045/2045954/cover/2045954.jpg", "Обложка")</f>
        <v>Обложка</v>
      </c>
      <c r="V639" s="28" t="str">
        <f>HYPERLINK("https://znanium.ru/catalog/product/1215060", "Ознакомиться")</f>
        <v>Ознакомиться</v>
      </c>
      <c r="W639" s="8" t="s">
        <v>4250</v>
      </c>
      <c r="X639" s="6"/>
      <c r="Y639" s="6"/>
      <c r="Z639" s="6"/>
      <c r="AA639" s="6" t="s">
        <v>656</v>
      </c>
    </row>
    <row r="640" spans="1:27" s="4" customFormat="1" ht="51.95" customHeight="1">
      <c r="A640" s="5">
        <v>0</v>
      </c>
      <c r="B640" s="6" t="s">
        <v>4251</v>
      </c>
      <c r="C640" s="7">
        <v>1600</v>
      </c>
      <c r="D640" s="8" t="s">
        <v>4252</v>
      </c>
      <c r="E640" s="8" t="s">
        <v>4253</v>
      </c>
      <c r="F640" s="8" t="s">
        <v>4254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333</v>
      </c>
      <c r="L640" s="9">
        <v>2024</v>
      </c>
      <c r="M640" s="8" t="s">
        <v>4255</v>
      </c>
      <c r="N640" s="8" t="s">
        <v>41</v>
      </c>
      <c r="O640" s="8" t="s">
        <v>160</v>
      </c>
      <c r="P640" s="6" t="s">
        <v>43</v>
      </c>
      <c r="Q640" s="8" t="s">
        <v>44</v>
      </c>
      <c r="R640" s="10" t="s">
        <v>3296</v>
      </c>
      <c r="S640" s="11" t="s">
        <v>4256</v>
      </c>
      <c r="T640" s="6"/>
      <c r="U640" s="28" t="str">
        <f>HYPERLINK("https://media.infra-m.ru/2138/2138112/cover/2138112.jpg", "Обложка")</f>
        <v>Обложка</v>
      </c>
      <c r="V640" s="28" t="str">
        <f>HYPERLINK("https://znanium.ru/catalog/product/2138112", "Ознакомиться")</f>
        <v>Ознакомиться</v>
      </c>
      <c r="W640" s="8" t="s">
        <v>4250</v>
      </c>
      <c r="X640" s="6" t="s">
        <v>542</v>
      </c>
      <c r="Y640" s="6"/>
      <c r="Z640" s="6"/>
      <c r="AA640" s="6" t="s">
        <v>49</v>
      </c>
    </row>
    <row r="641" spans="1:27" s="4" customFormat="1" ht="51.95" customHeight="1">
      <c r="A641" s="5">
        <v>0</v>
      </c>
      <c r="B641" s="6" t="s">
        <v>4257</v>
      </c>
      <c r="C641" s="7">
        <v>1990</v>
      </c>
      <c r="D641" s="8" t="s">
        <v>4258</v>
      </c>
      <c r="E641" s="8" t="s">
        <v>4259</v>
      </c>
      <c r="F641" s="8" t="s">
        <v>4254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525</v>
      </c>
      <c r="L641" s="9">
        <v>2022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4261</v>
      </c>
      <c r="T641" s="6"/>
      <c r="U641" s="28" t="str">
        <f>HYPERLINK("https://media.infra-m.ru/1865/1865774/cover/1865774.jpg",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4250</v>
      </c>
      <c r="X641" s="6"/>
      <c r="Y641" s="6"/>
      <c r="Z641" s="6"/>
      <c r="AA641" s="6" t="s">
        <v>475</v>
      </c>
    </row>
    <row r="642" spans="1:27" s="4" customFormat="1" ht="51.95" customHeight="1">
      <c r="A642" s="5">
        <v>0</v>
      </c>
      <c r="B642" s="6" t="s">
        <v>4262</v>
      </c>
      <c r="C642" s="7">
        <v>1200</v>
      </c>
      <c r="D642" s="8" t="s">
        <v>4263</v>
      </c>
      <c r="E642" s="8" t="s">
        <v>4264</v>
      </c>
      <c r="F642" s="8" t="s">
        <v>4265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254</v>
      </c>
      <c r="L642" s="9">
        <v>2024</v>
      </c>
      <c r="M642" s="8" t="s">
        <v>4266</v>
      </c>
      <c r="N642" s="8" t="s">
        <v>41</v>
      </c>
      <c r="O642" s="8" t="s">
        <v>178</v>
      </c>
      <c r="P642" s="6" t="s">
        <v>70</v>
      </c>
      <c r="Q642" s="8" t="s">
        <v>44</v>
      </c>
      <c r="R642" s="10" t="s">
        <v>4267</v>
      </c>
      <c r="S642" s="11" t="s">
        <v>236</v>
      </c>
      <c r="T642" s="6"/>
      <c r="U642" s="28" t="str">
        <f>HYPERLINK("https://media.infra-m.ru/2129/2129030/cover/2129030.jpg", "Обложка")</f>
        <v>Обложка</v>
      </c>
      <c r="V642" s="28" t="str">
        <f>HYPERLINK("https://znanium.ru/catalog/product/2129030",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254</v>
      </c>
    </row>
    <row r="643" spans="1:27" s="4" customFormat="1" ht="51.95" customHeight="1">
      <c r="A643" s="5">
        <v>0</v>
      </c>
      <c r="B643" s="6" t="s">
        <v>4268</v>
      </c>
      <c r="C643" s="13">
        <v>750</v>
      </c>
      <c r="D643" s="8" t="s">
        <v>4269</v>
      </c>
      <c r="E643" s="8" t="s">
        <v>4270</v>
      </c>
      <c r="F643" s="8" t="s">
        <v>3943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163</v>
      </c>
      <c r="L643" s="9">
        <v>2024</v>
      </c>
      <c r="M643" s="8" t="s">
        <v>4271</v>
      </c>
      <c r="N643" s="8" t="s">
        <v>68</v>
      </c>
      <c r="O643" s="8" t="s">
        <v>69</v>
      </c>
      <c r="P643" s="6" t="s">
        <v>43</v>
      </c>
      <c r="Q643" s="8" t="s">
        <v>44</v>
      </c>
      <c r="R643" s="10" t="s">
        <v>4272</v>
      </c>
      <c r="S643" s="11" t="s">
        <v>4273</v>
      </c>
      <c r="T643" s="6"/>
      <c r="U643" s="28" t="str">
        <f>HYPERLINK("https://media.infra-m.ru/2102/2102729/cover/2102729.jpg", "Обложка")</f>
        <v>Обложка</v>
      </c>
      <c r="V643" s="28" t="str">
        <f>HYPERLINK("https://znanium.ru/catalog/product/2102729", "Ознакомиться")</f>
        <v>Ознакомиться</v>
      </c>
      <c r="W643" s="8" t="s">
        <v>3947</v>
      </c>
      <c r="X643" s="6"/>
      <c r="Y643" s="6"/>
      <c r="Z643" s="6" t="s">
        <v>48</v>
      </c>
      <c r="AA643" s="6" t="s">
        <v>656</v>
      </c>
    </row>
    <row r="644" spans="1:27" s="4" customFormat="1" ht="51.95" customHeight="1">
      <c r="A644" s="5">
        <v>0</v>
      </c>
      <c r="B644" s="6" t="s">
        <v>4274</v>
      </c>
      <c r="C644" s="7">
        <v>1320</v>
      </c>
      <c r="D644" s="8" t="s">
        <v>4275</v>
      </c>
      <c r="E644" s="8" t="s">
        <v>4276</v>
      </c>
      <c r="F644" s="8" t="s">
        <v>4277</v>
      </c>
      <c r="G644" s="6" t="s">
        <v>66</v>
      </c>
      <c r="H644" s="6" t="s">
        <v>79</v>
      </c>
      <c r="I644" s="8" t="s">
        <v>529</v>
      </c>
      <c r="J644" s="9">
        <v>1</v>
      </c>
      <c r="K644" s="9">
        <v>285</v>
      </c>
      <c r="L644" s="9">
        <v>2023</v>
      </c>
      <c r="M644" s="8" t="s">
        <v>4278</v>
      </c>
      <c r="N644" s="8" t="s">
        <v>41</v>
      </c>
      <c r="O644" s="8" t="s">
        <v>303</v>
      </c>
      <c r="P644" s="6" t="s">
        <v>43</v>
      </c>
      <c r="Q644" s="8" t="s">
        <v>44</v>
      </c>
      <c r="R644" s="10" t="s">
        <v>4279</v>
      </c>
      <c r="S644" s="11" t="s">
        <v>4280</v>
      </c>
      <c r="T644" s="6"/>
      <c r="U644" s="28" t="str">
        <f>HYPERLINK("https://media.infra-m.ru/2103/2103178/cover/2103178.jpg", "Обложка")</f>
        <v>Обложка</v>
      </c>
      <c r="V644" s="28" t="str">
        <f>HYPERLINK("https://znanium.ru/catalog/product/1981704", "Ознакомиться")</f>
        <v>Ознакомиться</v>
      </c>
      <c r="W644" s="8" t="s">
        <v>4198</v>
      </c>
      <c r="X644" s="6"/>
      <c r="Y644" s="6"/>
      <c r="Z644" s="6"/>
      <c r="AA644" s="6" t="s">
        <v>85</v>
      </c>
    </row>
    <row r="645" spans="1:27" s="4" customFormat="1" ht="51.95" customHeight="1">
      <c r="A645" s="5">
        <v>0</v>
      </c>
      <c r="B645" s="6" t="s">
        <v>4281</v>
      </c>
      <c r="C645" s="13">
        <v>610</v>
      </c>
      <c r="D645" s="8" t="s">
        <v>4282</v>
      </c>
      <c r="E645" s="8" t="s">
        <v>4283</v>
      </c>
      <c r="F645" s="8" t="s">
        <v>4284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187</v>
      </c>
      <c r="L645" s="9">
        <v>2019</v>
      </c>
      <c r="M645" s="8" t="s">
        <v>4285</v>
      </c>
      <c r="N645" s="8" t="s">
        <v>504</v>
      </c>
      <c r="O645" s="8" t="s">
        <v>948</v>
      </c>
      <c r="P645" s="6" t="s">
        <v>70</v>
      </c>
      <c r="Q645" s="8" t="s">
        <v>44</v>
      </c>
      <c r="R645" s="10" t="s">
        <v>4286</v>
      </c>
      <c r="S645" s="11" t="s">
        <v>4287</v>
      </c>
      <c r="T645" s="6"/>
      <c r="U645" s="28" t="str">
        <f>HYPERLINK("https://media.infra-m.ru/1015/1015854/cover/1015854.jpg", "Обложка")</f>
        <v>Обложка</v>
      </c>
      <c r="V645" s="28" t="str">
        <f>HYPERLINK("https://znanium.ru/catalog/product/1927382", "Ознакомиться")</f>
        <v>Ознакомиться</v>
      </c>
      <c r="W645" s="8" t="s">
        <v>181</v>
      </c>
      <c r="X645" s="6"/>
      <c r="Y645" s="6"/>
      <c r="Z645" s="6"/>
      <c r="AA645" s="6" t="s">
        <v>74</v>
      </c>
    </row>
    <row r="646" spans="1:27" s="4" customFormat="1" ht="51.95" customHeight="1">
      <c r="A646" s="5">
        <v>0</v>
      </c>
      <c r="B646" s="6" t="s">
        <v>4288</v>
      </c>
      <c r="C646" s="13">
        <v>860</v>
      </c>
      <c r="D646" s="8" t="s">
        <v>4289</v>
      </c>
      <c r="E646" s="8" t="s">
        <v>4290</v>
      </c>
      <c r="F646" s="8" t="s">
        <v>4291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190</v>
      </c>
      <c r="L646" s="9">
        <v>2023</v>
      </c>
      <c r="M646" s="8" t="s">
        <v>4292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4286</v>
      </c>
      <c r="S646" s="11" t="s">
        <v>4287</v>
      </c>
      <c r="T646" s="6"/>
      <c r="U646" s="28" t="str">
        <f>HYPERLINK("https://media.infra-m.ru/1927/1927382/cover/1927382.jpg",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4293</v>
      </c>
    </row>
    <row r="647" spans="1:27" s="4" customFormat="1" ht="51.95" customHeight="1">
      <c r="A647" s="5">
        <v>0</v>
      </c>
      <c r="B647" s="6" t="s">
        <v>4294</v>
      </c>
      <c r="C647" s="7">
        <v>1320</v>
      </c>
      <c r="D647" s="8" t="s">
        <v>4295</v>
      </c>
      <c r="E647" s="8" t="s">
        <v>4296</v>
      </c>
      <c r="F647" s="8" t="s">
        <v>4297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346</v>
      </c>
      <c r="L647" s="9">
        <v>2022</v>
      </c>
      <c r="M647" s="8" t="s">
        <v>4298</v>
      </c>
      <c r="N647" s="8" t="s">
        <v>41</v>
      </c>
      <c r="O647" s="8" t="s">
        <v>42</v>
      </c>
      <c r="P647" s="6" t="s">
        <v>43</v>
      </c>
      <c r="Q647" s="8" t="s">
        <v>44</v>
      </c>
      <c r="R647" s="10" t="s">
        <v>1165</v>
      </c>
      <c r="S647" s="11" t="s">
        <v>4299</v>
      </c>
      <c r="T647" s="6"/>
      <c r="U647" s="28" t="str">
        <f>HYPERLINK("https://media.infra-m.ru/1056/1056856/cover/1056856.jpg", "Обложка")</f>
        <v>Обложка</v>
      </c>
      <c r="V647" s="28" t="str">
        <f>HYPERLINK("https://znanium.ru/catalog/product/1056856", "Ознакомиться")</f>
        <v>Ознакомиться</v>
      </c>
      <c r="W647" s="8" t="s">
        <v>726</v>
      </c>
      <c r="X647" s="6"/>
      <c r="Y647" s="6" t="s">
        <v>30</v>
      </c>
      <c r="Z647" s="6"/>
      <c r="AA647" s="6" t="s">
        <v>1990</v>
      </c>
    </row>
    <row r="648" spans="1:27" s="4" customFormat="1" ht="51.95" customHeight="1">
      <c r="A648" s="5">
        <v>0</v>
      </c>
      <c r="B648" s="6" t="s">
        <v>4300</v>
      </c>
      <c r="C648" s="7">
        <v>1294.9000000000001</v>
      </c>
      <c r="D648" s="8" t="s">
        <v>4301</v>
      </c>
      <c r="E648" s="8" t="s">
        <v>4302</v>
      </c>
      <c r="F648" s="8" t="s">
        <v>4303</v>
      </c>
      <c r="G648" s="6" t="s">
        <v>37</v>
      </c>
      <c r="H648" s="6" t="s">
        <v>38</v>
      </c>
      <c r="I648" s="8" t="s">
        <v>56</v>
      </c>
      <c r="J648" s="9">
        <v>1</v>
      </c>
      <c r="K648" s="9">
        <v>288</v>
      </c>
      <c r="L648" s="9">
        <v>2023</v>
      </c>
      <c r="M648" s="8" t="s">
        <v>4304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4305</v>
      </c>
      <c r="S648" s="11" t="s">
        <v>882</v>
      </c>
      <c r="T648" s="6"/>
      <c r="U648" s="28" t="str">
        <f>HYPERLINK("https://media.infra-m.ru/2039/2039131/cover/2039131.jpg", "Обложка")</f>
        <v>Обложка</v>
      </c>
      <c r="V648" s="12"/>
      <c r="W648" s="8" t="s">
        <v>943</v>
      </c>
      <c r="X648" s="6"/>
      <c r="Y648" s="6"/>
      <c r="Z648" s="6"/>
      <c r="AA648" s="6" t="s">
        <v>4306</v>
      </c>
    </row>
    <row r="649" spans="1:27" s="4" customFormat="1" ht="51.95" customHeight="1">
      <c r="A649" s="5">
        <v>0</v>
      </c>
      <c r="B649" s="6" t="s">
        <v>4307</v>
      </c>
      <c r="C649" s="7">
        <v>1080</v>
      </c>
      <c r="D649" s="8" t="s">
        <v>4308</v>
      </c>
      <c r="E649" s="8" t="s">
        <v>4309</v>
      </c>
      <c r="F649" s="8" t="s">
        <v>4310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216</v>
      </c>
      <c r="L649" s="9">
        <v>2023</v>
      </c>
      <c r="M649" s="8" t="s">
        <v>4311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4312</v>
      </c>
      <c r="S649" s="11" t="s">
        <v>4313</v>
      </c>
      <c r="T649" s="6"/>
      <c r="U649" s="28" t="str">
        <f>HYPERLINK("https://media.infra-m.ru/1900/1900721/cover/1900721.jpg", "Обложка")</f>
        <v>Обложка</v>
      </c>
      <c r="V649" s="28" t="str">
        <f>HYPERLINK("https://znanium.ru/catalog/product/1900721", "Ознакомиться")</f>
        <v>Ознакомиться</v>
      </c>
      <c r="W649" s="8" t="s">
        <v>73</v>
      </c>
      <c r="X649" s="6"/>
      <c r="Y649" s="6"/>
      <c r="Z649" s="6" t="s">
        <v>48</v>
      </c>
      <c r="AA649" s="6" t="s">
        <v>61</v>
      </c>
    </row>
    <row r="650" spans="1:27" s="4" customFormat="1" ht="51.95" customHeight="1">
      <c r="A650" s="5">
        <v>0</v>
      </c>
      <c r="B650" s="6" t="s">
        <v>4314</v>
      </c>
      <c r="C650" s="13">
        <v>790</v>
      </c>
      <c r="D650" s="8" t="s">
        <v>4315</v>
      </c>
      <c r="E650" s="8" t="s">
        <v>4316</v>
      </c>
      <c r="F650" s="8" t="s">
        <v>4317</v>
      </c>
      <c r="G650" s="6" t="s">
        <v>66</v>
      </c>
      <c r="H650" s="6" t="s">
        <v>55</v>
      </c>
      <c r="I650" s="8" t="s">
        <v>56</v>
      </c>
      <c r="J650" s="9">
        <v>1</v>
      </c>
      <c r="K650" s="9">
        <v>202</v>
      </c>
      <c r="L650" s="9">
        <v>2022</v>
      </c>
      <c r="M650" s="8" t="s">
        <v>4318</v>
      </c>
      <c r="N650" s="8" t="s">
        <v>41</v>
      </c>
      <c r="O650" s="8" t="s">
        <v>42</v>
      </c>
      <c r="P650" s="6" t="s">
        <v>70</v>
      </c>
      <c r="Q650" s="8" t="s">
        <v>44</v>
      </c>
      <c r="R650" s="10" t="s">
        <v>4319</v>
      </c>
      <c r="S650" s="11"/>
      <c r="T650" s="6"/>
      <c r="U650" s="28" t="str">
        <f>HYPERLINK("https://media.infra-m.ru/1860/1860126/cover/1860126.jpg", "Обложка")</f>
        <v>Обложка</v>
      </c>
      <c r="V650" s="28" t="str">
        <f>HYPERLINK("https://znanium.ru/catalog/product/1860126", "Ознакомиться")</f>
        <v>Ознакомиться</v>
      </c>
      <c r="W650" s="8" t="s">
        <v>1922</v>
      </c>
      <c r="X650" s="6"/>
      <c r="Y650" s="6"/>
      <c r="Z650" s="6"/>
      <c r="AA650" s="6" t="s">
        <v>94</v>
      </c>
    </row>
    <row r="651" spans="1:27" s="4" customFormat="1" ht="51.95" customHeight="1">
      <c r="A651" s="5">
        <v>0</v>
      </c>
      <c r="B651" s="6" t="s">
        <v>4320</v>
      </c>
      <c r="C651" s="7">
        <v>1550</v>
      </c>
      <c r="D651" s="8" t="s">
        <v>4321</v>
      </c>
      <c r="E651" s="8" t="s">
        <v>4316</v>
      </c>
      <c r="F651" s="8" t="s">
        <v>960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337</v>
      </c>
      <c r="L651" s="9">
        <v>2024</v>
      </c>
      <c r="M651" s="8" t="s">
        <v>4322</v>
      </c>
      <c r="N651" s="8" t="s">
        <v>41</v>
      </c>
      <c r="O651" s="8" t="s">
        <v>42</v>
      </c>
      <c r="P651" s="6" t="s">
        <v>43</v>
      </c>
      <c r="Q651" s="8" t="s">
        <v>44</v>
      </c>
      <c r="R651" s="10" t="s">
        <v>4323</v>
      </c>
      <c r="S651" s="11" t="s">
        <v>4324</v>
      </c>
      <c r="T651" s="6"/>
      <c r="U651" s="28" t="str">
        <f>HYPERLINK("https://media.infra-m.ru/2118/2118689/cover/2118689.jpg", "Обложка")</f>
        <v>Обложка</v>
      </c>
      <c r="V651" s="28" t="str">
        <f>HYPERLINK("https://znanium.ru/catalog/product/2118689", "Ознакомиться")</f>
        <v>Ознакомиться</v>
      </c>
      <c r="W651" s="8" t="s">
        <v>60</v>
      </c>
      <c r="X651" s="6" t="s">
        <v>635</v>
      </c>
      <c r="Y651" s="6"/>
      <c r="Z651" s="6" t="s">
        <v>687</v>
      </c>
      <c r="AA651" s="6" t="s">
        <v>213</v>
      </c>
    </row>
    <row r="652" spans="1:27" s="4" customFormat="1" ht="51.95" customHeight="1">
      <c r="A652" s="5">
        <v>0</v>
      </c>
      <c r="B652" s="6" t="s">
        <v>4325</v>
      </c>
      <c r="C652" s="7">
        <v>1070</v>
      </c>
      <c r="D652" s="8" t="s">
        <v>4326</v>
      </c>
      <c r="E652" s="8" t="s">
        <v>4327</v>
      </c>
      <c r="F652" s="8" t="s">
        <v>1572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225</v>
      </c>
      <c r="L652" s="9">
        <v>2024</v>
      </c>
      <c r="M652" s="8" t="s">
        <v>4328</v>
      </c>
      <c r="N652" s="8" t="s">
        <v>504</v>
      </c>
      <c r="O652" s="8" t="s">
        <v>948</v>
      </c>
      <c r="P652" s="6" t="s">
        <v>43</v>
      </c>
      <c r="Q652" s="8" t="s">
        <v>44</v>
      </c>
      <c r="R652" s="10" t="s">
        <v>1486</v>
      </c>
      <c r="S652" s="11" t="s">
        <v>4329</v>
      </c>
      <c r="T652" s="6"/>
      <c r="U652" s="28" t="str">
        <f>HYPERLINK("https://media.infra-m.ru/2131/2131756/cover/2131756.jpg", "Обложка")</f>
        <v>Обложка</v>
      </c>
      <c r="V652" s="28" t="str">
        <f>HYPERLINK("https://znanium.ru/catalog/product/2131756", "Ознакомиться")</f>
        <v>Ознакомиться</v>
      </c>
      <c r="W652" s="8" t="s">
        <v>957</v>
      </c>
      <c r="X652" s="6"/>
      <c r="Y652" s="6"/>
      <c r="Z652" s="6" t="s">
        <v>48</v>
      </c>
      <c r="AA652" s="6" t="s">
        <v>85</v>
      </c>
    </row>
    <row r="653" spans="1:27" s="4" customFormat="1" ht="51.95" customHeight="1">
      <c r="A653" s="5">
        <v>0</v>
      </c>
      <c r="B653" s="6" t="s">
        <v>4330</v>
      </c>
      <c r="C653" s="7">
        <v>1014</v>
      </c>
      <c r="D653" s="8" t="s">
        <v>4331</v>
      </c>
      <c r="E653" s="8" t="s">
        <v>4332</v>
      </c>
      <c r="F653" s="8" t="s">
        <v>3951</v>
      </c>
      <c r="G653" s="6" t="s">
        <v>37</v>
      </c>
      <c r="H653" s="6" t="s">
        <v>79</v>
      </c>
      <c r="I653" s="8" t="s">
        <v>39</v>
      </c>
      <c r="J653" s="9">
        <v>1</v>
      </c>
      <c r="K653" s="9">
        <v>224</v>
      </c>
      <c r="L653" s="9">
        <v>2023</v>
      </c>
      <c r="M653" s="8" t="s">
        <v>4333</v>
      </c>
      <c r="N653" s="8" t="s">
        <v>118</v>
      </c>
      <c r="O653" s="8" t="s">
        <v>119</v>
      </c>
      <c r="P653" s="6" t="s">
        <v>43</v>
      </c>
      <c r="Q653" s="8" t="s">
        <v>44</v>
      </c>
      <c r="R653" s="10" t="s">
        <v>4334</v>
      </c>
      <c r="S653" s="11" t="s">
        <v>4335</v>
      </c>
      <c r="T653" s="6"/>
      <c r="U653" s="28" t="str">
        <f>HYPERLINK("https://media.infra-m.ru/2021/2021435/cover/2021435.jpg", "Обложка")</f>
        <v>Обложка</v>
      </c>
      <c r="V653" s="28" t="str">
        <f>HYPERLINK("https://znanium.ru/catalog/product/961529", "Ознакомиться")</f>
        <v>Ознакомиться</v>
      </c>
      <c r="W653" s="8"/>
      <c r="X653" s="6"/>
      <c r="Y653" s="6"/>
      <c r="Z653" s="6" t="s">
        <v>48</v>
      </c>
      <c r="AA653" s="6" t="s">
        <v>656</v>
      </c>
    </row>
    <row r="654" spans="1:27" s="4" customFormat="1" ht="51.95" customHeight="1">
      <c r="A654" s="5">
        <v>0</v>
      </c>
      <c r="B654" s="6" t="s">
        <v>4336</v>
      </c>
      <c r="C654" s="7">
        <v>1110</v>
      </c>
      <c r="D654" s="8" t="s">
        <v>4337</v>
      </c>
      <c r="E654" s="8" t="s">
        <v>4338</v>
      </c>
      <c r="F654" s="8" t="s">
        <v>4339</v>
      </c>
      <c r="G654" s="6" t="s">
        <v>66</v>
      </c>
      <c r="H654" s="6" t="s">
        <v>283</v>
      </c>
      <c r="I654" s="8" t="s">
        <v>39</v>
      </c>
      <c r="J654" s="9">
        <v>1</v>
      </c>
      <c r="K654" s="9">
        <v>240</v>
      </c>
      <c r="L654" s="9">
        <v>2024</v>
      </c>
      <c r="M654" s="8" t="s">
        <v>4340</v>
      </c>
      <c r="N654" s="8" t="s">
        <v>68</v>
      </c>
      <c r="O654" s="8" t="s">
        <v>327</v>
      </c>
      <c r="P654" s="6" t="s">
        <v>70</v>
      </c>
      <c r="Q654" s="8" t="s">
        <v>44</v>
      </c>
      <c r="R654" s="10" t="s">
        <v>4341</v>
      </c>
      <c r="S654" s="11" t="s">
        <v>72</v>
      </c>
      <c r="T654" s="6"/>
      <c r="U654" s="28" t="str">
        <f>HYPERLINK("https://media.infra-m.ru/2130/2130168/cover/2130168.jpg", "Обложка")</f>
        <v>Обложка</v>
      </c>
      <c r="V654" s="28" t="str">
        <f>HYPERLINK("https://znanium.ru/catalog/product/2130168", "Ознакомиться")</f>
        <v>Ознакомиться</v>
      </c>
      <c r="W654" s="8" t="s">
        <v>3714</v>
      </c>
      <c r="X654" s="6"/>
      <c r="Y654" s="6"/>
      <c r="Z654" s="6"/>
      <c r="AA654" s="6" t="s">
        <v>702</v>
      </c>
    </row>
    <row r="655" spans="1:27" s="4" customFormat="1" ht="51.95" customHeight="1">
      <c r="A655" s="5">
        <v>0</v>
      </c>
      <c r="B655" s="6" t="s">
        <v>4342</v>
      </c>
      <c r="C655" s="7">
        <v>1294</v>
      </c>
      <c r="D655" s="8" t="s">
        <v>4343</v>
      </c>
      <c r="E655" s="8" t="s">
        <v>4344</v>
      </c>
      <c r="F655" s="8" t="s">
        <v>4345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281</v>
      </c>
      <c r="L655" s="9">
        <v>2024</v>
      </c>
      <c r="M655" s="8" t="s">
        <v>4346</v>
      </c>
      <c r="N655" s="8" t="s">
        <v>68</v>
      </c>
      <c r="O655" s="8" t="s">
        <v>69</v>
      </c>
      <c r="P655" s="6" t="s">
        <v>43</v>
      </c>
      <c r="Q655" s="8" t="s">
        <v>44</v>
      </c>
      <c r="R655" s="10" t="s">
        <v>4347</v>
      </c>
      <c r="S655" s="11" t="s">
        <v>4348</v>
      </c>
      <c r="T655" s="6"/>
      <c r="U655" s="28" t="str">
        <f>HYPERLINK("https://media.infra-m.ru/2127/2127084/cover/2127084.jpg", "Обложка")</f>
        <v>Обложка</v>
      </c>
      <c r="V655" s="28" t="str">
        <f>HYPERLINK("https://znanium.ru/catalog/product/1864108", "Ознакомиться")</f>
        <v>Ознакомиться</v>
      </c>
      <c r="W655" s="8" t="s">
        <v>4349</v>
      </c>
      <c r="X655" s="6"/>
      <c r="Y655" s="6"/>
      <c r="Z655" s="6"/>
      <c r="AA655" s="6" t="s">
        <v>213</v>
      </c>
    </row>
    <row r="656" spans="1:27" s="4" customFormat="1" ht="51.95" customHeight="1">
      <c r="A656" s="5">
        <v>0</v>
      </c>
      <c r="B656" s="6" t="s">
        <v>4350</v>
      </c>
      <c r="C656" s="7">
        <v>1394</v>
      </c>
      <c r="D656" s="8" t="s">
        <v>4351</v>
      </c>
      <c r="E656" s="8" t="s">
        <v>4352</v>
      </c>
      <c r="F656" s="8" t="s">
        <v>4353</v>
      </c>
      <c r="G656" s="6" t="s">
        <v>54</v>
      </c>
      <c r="H656" s="6" t="s">
        <v>38</v>
      </c>
      <c r="I656" s="8" t="s">
        <v>39</v>
      </c>
      <c r="J656" s="9">
        <v>1</v>
      </c>
      <c r="K656" s="9">
        <v>304</v>
      </c>
      <c r="L656" s="9">
        <v>2023</v>
      </c>
      <c r="M656" s="8" t="s">
        <v>4354</v>
      </c>
      <c r="N656" s="8" t="s">
        <v>118</v>
      </c>
      <c r="O656" s="8" t="s">
        <v>1459</v>
      </c>
      <c r="P656" s="6" t="s">
        <v>43</v>
      </c>
      <c r="Q656" s="8" t="s">
        <v>44</v>
      </c>
      <c r="R656" s="10" t="s">
        <v>2766</v>
      </c>
      <c r="S656" s="11" t="s">
        <v>2881</v>
      </c>
      <c r="T656" s="6"/>
      <c r="U656" s="28" t="str">
        <f>HYPERLINK("https://media.infra-m.ru/1910/1910575/cover/1910575.jpg", "Обложка")</f>
        <v>Обложка</v>
      </c>
      <c r="V656" s="28" t="str">
        <f>HYPERLINK("https://znanium.ru/catalog/product/1280462", "Ознакомиться")</f>
        <v>Ознакомиться</v>
      </c>
      <c r="W656" s="8" t="s">
        <v>102</v>
      </c>
      <c r="X656" s="6"/>
      <c r="Y656" s="6"/>
      <c r="Z656" s="6"/>
      <c r="AA656" s="6" t="s">
        <v>1780</v>
      </c>
    </row>
    <row r="657" spans="1:27" s="4" customFormat="1" ht="51.95" customHeight="1">
      <c r="A657" s="5">
        <v>0</v>
      </c>
      <c r="B657" s="6" t="s">
        <v>4355</v>
      </c>
      <c r="C657" s="13">
        <v>864.9</v>
      </c>
      <c r="D657" s="8" t="s">
        <v>4356</v>
      </c>
      <c r="E657" s="8" t="s">
        <v>4357</v>
      </c>
      <c r="F657" s="8" t="s">
        <v>4358</v>
      </c>
      <c r="G657" s="6" t="s">
        <v>37</v>
      </c>
      <c r="H657" s="6" t="s">
        <v>79</v>
      </c>
      <c r="I657" s="8" t="s">
        <v>39</v>
      </c>
      <c r="J657" s="9">
        <v>1</v>
      </c>
      <c r="K657" s="9">
        <v>192</v>
      </c>
      <c r="L657" s="9">
        <v>2023</v>
      </c>
      <c r="M657" s="8" t="s">
        <v>4359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4360</v>
      </c>
      <c r="S657" s="11" t="s">
        <v>4361</v>
      </c>
      <c r="T657" s="6"/>
      <c r="U657" s="28" t="str">
        <f>HYPERLINK("https://media.infra-m.ru/2030/2030859/cover/2030859.jpg", "Обложка")</f>
        <v>Обложка</v>
      </c>
      <c r="V657" s="28" t="str">
        <f>HYPERLINK("https://znanium.ru/catalog/product/987878", "Ознакомиться")</f>
        <v>Ознакомиться</v>
      </c>
      <c r="W657" s="8"/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4362</v>
      </c>
      <c r="C658" s="7">
        <v>1344</v>
      </c>
      <c r="D658" s="8" t="s">
        <v>4363</v>
      </c>
      <c r="E658" s="8" t="s">
        <v>4364</v>
      </c>
      <c r="F658" s="8" t="s">
        <v>4365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292</v>
      </c>
      <c r="L658" s="9">
        <v>2024</v>
      </c>
      <c r="M658" s="8" t="s">
        <v>4366</v>
      </c>
      <c r="N658" s="8" t="s">
        <v>118</v>
      </c>
      <c r="O658" s="8" t="s">
        <v>119</v>
      </c>
      <c r="P658" s="6" t="s">
        <v>70</v>
      </c>
      <c r="Q658" s="8" t="s">
        <v>44</v>
      </c>
      <c r="R658" s="10" t="s">
        <v>429</v>
      </c>
      <c r="S658" s="11" t="s">
        <v>4367</v>
      </c>
      <c r="T658" s="6"/>
      <c r="U658" s="28" t="str">
        <f>HYPERLINK("https://media.infra-m.ru/2102/2102660/cover/2102660.jpg", "Обложка")</f>
        <v>Обложка</v>
      </c>
      <c r="V658" s="28" t="str">
        <f>HYPERLINK("https://znanium.ru/catalog/product/1372729", "Ознакомиться")</f>
        <v>Ознакомиться</v>
      </c>
      <c r="W658" s="8" t="s">
        <v>2775</v>
      </c>
      <c r="X658" s="6"/>
      <c r="Y658" s="6"/>
      <c r="Z658" s="6" t="s">
        <v>48</v>
      </c>
      <c r="AA658" s="6" t="s">
        <v>524</v>
      </c>
    </row>
    <row r="659" spans="1:27" s="4" customFormat="1" ht="51.95" customHeight="1">
      <c r="A659" s="5">
        <v>0</v>
      </c>
      <c r="B659" s="6" t="s">
        <v>4368</v>
      </c>
      <c r="C659" s="7">
        <v>1130</v>
      </c>
      <c r="D659" s="8" t="s">
        <v>4369</v>
      </c>
      <c r="E659" s="8" t="s">
        <v>4370</v>
      </c>
      <c r="F659" s="8" t="s">
        <v>3024</v>
      </c>
      <c r="G659" s="6" t="s">
        <v>66</v>
      </c>
      <c r="H659" s="6" t="s">
        <v>716</v>
      </c>
      <c r="I659" s="8"/>
      <c r="J659" s="9">
        <v>1</v>
      </c>
      <c r="K659" s="9">
        <v>240</v>
      </c>
      <c r="L659" s="9">
        <v>2024</v>
      </c>
      <c r="M659" s="8" t="s">
        <v>4371</v>
      </c>
      <c r="N659" s="8" t="s">
        <v>41</v>
      </c>
      <c r="O659" s="8" t="s">
        <v>1222</v>
      </c>
      <c r="P659" s="6" t="s">
        <v>70</v>
      </c>
      <c r="Q659" s="8" t="s">
        <v>44</v>
      </c>
      <c r="R659" s="10" t="s">
        <v>4372</v>
      </c>
      <c r="S659" s="11"/>
      <c r="T659" s="6"/>
      <c r="U659" s="28" t="str">
        <f>HYPERLINK("https://media.infra-m.ru/2098/2098993/cover/2098993.jpg", "Обложка")</f>
        <v>Обложка</v>
      </c>
      <c r="V659" s="28" t="str">
        <f>HYPERLINK("https://znanium.ru/catalog/product/2098993", "Ознакомиться")</f>
        <v>Ознакомиться</v>
      </c>
      <c r="W659" s="8" t="s">
        <v>172</v>
      </c>
      <c r="X659" s="6"/>
      <c r="Y659" s="6" t="s">
        <v>30</v>
      </c>
      <c r="Z659" s="6"/>
      <c r="AA659" s="6" t="s">
        <v>671</v>
      </c>
    </row>
    <row r="660" spans="1:27" s="4" customFormat="1" ht="51.95" customHeight="1">
      <c r="A660" s="5">
        <v>0</v>
      </c>
      <c r="B660" s="6" t="s">
        <v>4373</v>
      </c>
      <c r="C660" s="7">
        <v>1370</v>
      </c>
      <c r="D660" s="8" t="s">
        <v>4374</v>
      </c>
      <c r="E660" s="8" t="s">
        <v>4375</v>
      </c>
      <c r="F660" s="8" t="s">
        <v>4376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297</v>
      </c>
      <c r="L660" s="9">
        <v>2024</v>
      </c>
      <c r="M660" s="8" t="s">
        <v>4377</v>
      </c>
      <c r="N660" s="8" t="s">
        <v>118</v>
      </c>
      <c r="O660" s="8" t="s">
        <v>1459</v>
      </c>
      <c r="P660" s="6" t="s">
        <v>43</v>
      </c>
      <c r="Q660" s="8" t="s">
        <v>44</v>
      </c>
      <c r="R660" s="10" t="s">
        <v>4378</v>
      </c>
      <c r="S660" s="11"/>
      <c r="T660" s="6" t="s">
        <v>110</v>
      </c>
      <c r="U660" s="28" t="str">
        <f>HYPERLINK("https://media.infra-m.ru/2098/2098479/cover/2098479.jpg", "Обложка")</f>
        <v>Обложка</v>
      </c>
      <c r="V660" s="28" t="str">
        <f>HYPERLINK("https://znanium.ru/catalog/product/2098479", "Ознакомиться")</f>
        <v>Ознакомиться</v>
      </c>
      <c r="W660" s="8" t="s">
        <v>1629</v>
      </c>
      <c r="X660" s="6" t="s">
        <v>635</v>
      </c>
      <c r="Y660" s="6"/>
      <c r="Z660" s="6" t="s">
        <v>687</v>
      </c>
      <c r="AA660" s="6" t="s">
        <v>339</v>
      </c>
    </row>
    <row r="661" spans="1:27" s="4" customFormat="1" ht="51.95" customHeight="1">
      <c r="A661" s="5">
        <v>0</v>
      </c>
      <c r="B661" s="6" t="s">
        <v>4379</v>
      </c>
      <c r="C661" s="7">
        <v>1250</v>
      </c>
      <c r="D661" s="8" t="s">
        <v>4380</v>
      </c>
      <c r="E661" s="8" t="s">
        <v>4381</v>
      </c>
      <c r="F661" s="8" t="s">
        <v>4382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272</v>
      </c>
      <c r="L661" s="9">
        <v>2024</v>
      </c>
      <c r="M661" s="8" t="s">
        <v>4383</v>
      </c>
      <c r="N661" s="8" t="s">
        <v>41</v>
      </c>
      <c r="O661" s="8" t="s">
        <v>1222</v>
      </c>
      <c r="P661" s="6" t="s">
        <v>70</v>
      </c>
      <c r="Q661" s="8" t="s">
        <v>44</v>
      </c>
      <c r="R661" s="10" t="s">
        <v>4384</v>
      </c>
      <c r="S661" s="11" t="s">
        <v>4385</v>
      </c>
      <c r="T661" s="6"/>
      <c r="U661" s="28" t="str">
        <f>HYPERLINK("https://media.infra-m.ru/2103/2103210/cover/2103210.jpg", "Обложка")</f>
        <v>Обложка</v>
      </c>
      <c r="V661" s="28" t="str">
        <f>HYPERLINK("https://znanium.ru/catalog/product/2103210", "Ознакомиться")</f>
        <v>Ознакомиться</v>
      </c>
      <c r="W661" s="8" t="s">
        <v>163</v>
      </c>
      <c r="X661" s="6"/>
      <c r="Y661" s="6" t="s">
        <v>30</v>
      </c>
      <c r="Z661" s="6"/>
      <c r="AA661" s="6" t="s">
        <v>1473</v>
      </c>
    </row>
    <row r="662" spans="1:27" s="4" customFormat="1" ht="51.95" customHeight="1">
      <c r="A662" s="5">
        <v>0</v>
      </c>
      <c r="B662" s="6" t="s">
        <v>4386</v>
      </c>
      <c r="C662" s="7">
        <v>1310</v>
      </c>
      <c r="D662" s="8" t="s">
        <v>4387</v>
      </c>
      <c r="E662" s="8" t="s">
        <v>4388</v>
      </c>
      <c r="F662" s="8" t="s">
        <v>4389</v>
      </c>
      <c r="G662" s="6" t="s">
        <v>37</v>
      </c>
      <c r="H662" s="6" t="s">
        <v>283</v>
      </c>
      <c r="I662" s="8" t="s">
        <v>39</v>
      </c>
      <c r="J662" s="9">
        <v>1</v>
      </c>
      <c r="K662" s="9">
        <v>384</v>
      </c>
      <c r="L662" s="9">
        <v>2020</v>
      </c>
      <c r="M662" s="8" t="s">
        <v>4390</v>
      </c>
      <c r="N662" s="8" t="s">
        <v>41</v>
      </c>
      <c r="O662" s="8" t="s">
        <v>160</v>
      </c>
      <c r="P662" s="6" t="s">
        <v>70</v>
      </c>
      <c r="Q662" s="8" t="s">
        <v>44</v>
      </c>
      <c r="R662" s="10" t="s">
        <v>4391</v>
      </c>
      <c r="S662" s="11" t="s">
        <v>4392</v>
      </c>
      <c r="T662" s="6"/>
      <c r="U662" s="28" t="str">
        <f>HYPERLINK("https://media.infra-m.ru/1046/1046287/cover/1046287.jpg", "Обложка")</f>
        <v>Обложка</v>
      </c>
      <c r="V662" s="28" t="str">
        <f>HYPERLINK("https://znanium.ru/catalog/product/1046287", "Ознакомиться")</f>
        <v>Ознакомиться</v>
      </c>
      <c r="W662" s="8" t="s">
        <v>60</v>
      </c>
      <c r="X662" s="6"/>
      <c r="Y662" s="6"/>
      <c r="Z662" s="6" t="s">
        <v>48</v>
      </c>
      <c r="AA662" s="6" t="s">
        <v>1480</v>
      </c>
    </row>
    <row r="663" spans="1:27" s="4" customFormat="1" ht="51.95" customHeight="1">
      <c r="A663" s="5">
        <v>0</v>
      </c>
      <c r="B663" s="6" t="s">
        <v>4393</v>
      </c>
      <c r="C663" s="7">
        <v>1300</v>
      </c>
      <c r="D663" s="8" t="s">
        <v>4394</v>
      </c>
      <c r="E663" s="8" t="s">
        <v>4395</v>
      </c>
      <c r="F663" s="8" t="s">
        <v>4396</v>
      </c>
      <c r="G663" s="6" t="s">
        <v>66</v>
      </c>
      <c r="H663" s="6" t="s">
        <v>283</v>
      </c>
      <c r="I663" s="8" t="s">
        <v>39</v>
      </c>
      <c r="J663" s="9">
        <v>1</v>
      </c>
      <c r="K663" s="9">
        <v>288</v>
      </c>
      <c r="L663" s="9">
        <v>2023</v>
      </c>
      <c r="M663" s="8" t="s">
        <v>4397</v>
      </c>
      <c r="N663" s="8" t="s">
        <v>68</v>
      </c>
      <c r="O663" s="8" t="s">
        <v>327</v>
      </c>
      <c r="P663" s="6" t="s">
        <v>70</v>
      </c>
      <c r="Q663" s="8" t="s">
        <v>44</v>
      </c>
      <c r="R663" s="10" t="s">
        <v>4398</v>
      </c>
      <c r="S663" s="11" t="s">
        <v>72</v>
      </c>
      <c r="T663" s="6"/>
      <c r="U663" s="28" t="str">
        <f>HYPERLINK("https://media.infra-m.ru/1979/1979975/cover/1979975.jpg", "Обложка")</f>
        <v>Обложка</v>
      </c>
      <c r="V663" s="28" t="str">
        <f>HYPERLINK("https://znanium.ru/catalog/product/1979975", "Ознакомиться")</f>
        <v>Ознакомиться</v>
      </c>
      <c r="W663" s="8" t="s">
        <v>3714</v>
      </c>
      <c r="X663" s="6"/>
      <c r="Y663" s="6"/>
      <c r="Z663" s="6"/>
      <c r="AA663" s="6" t="s">
        <v>872</v>
      </c>
    </row>
    <row r="664" spans="1:27" s="4" customFormat="1" ht="51.95" customHeight="1">
      <c r="A664" s="5">
        <v>0</v>
      </c>
      <c r="B664" s="6" t="s">
        <v>4399</v>
      </c>
      <c r="C664" s="13">
        <v>574</v>
      </c>
      <c r="D664" s="8" t="s">
        <v>4400</v>
      </c>
      <c r="E664" s="8" t="s">
        <v>4401</v>
      </c>
      <c r="F664" s="8" t="s">
        <v>4402</v>
      </c>
      <c r="G664" s="6" t="s">
        <v>54</v>
      </c>
      <c r="H664" s="6" t="s">
        <v>38</v>
      </c>
      <c r="I664" s="8" t="s">
        <v>39</v>
      </c>
      <c r="J664" s="9">
        <v>1</v>
      </c>
      <c r="K664" s="9">
        <v>126</v>
      </c>
      <c r="L664" s="9">
        <v>2023</v>
      </c>
      <c r="M664" s="8" t="s">
        <v>4403</v>
      </c>
      <c r="N664" s="8" t="s">
        <v>504</v>
      </c>
      <c r="O664" s="8" t="s">
        <v>948</v>
      </c>
      <c r="P664" s="6" t="s">
        <v>43</v>
      </c>
      <c r="Q664" s="8" t="s">
        <v>44</v>
      </c>
      <c r="R664" s="10" t="s">
        <v>2651</v>
      </c>
      <c r="S664" s="11" t="s">
        <v>4404</v>
      </c>
      <c r="T664" s="6"/>
      <c r="U664" s="28" t="str">
        <f>HYPERLINK("https://media.infra-m.ru/2021/2021468/cover/2021468.jpg", "Обложка")</f>
        <v>Обложка</v>
      </c>
      <c r="V664" s="28" t="str">
        <f>HYPERLINK("https://znanium.ru/catalog/product/1042596", "Ознакомиться")</f>
        <v>Ознакомиться</v>
      </c>
      <c r="W664" s="8" t="s">
        <v>4405</v>
      </c>
      <c r="X664" s="6"/>
      <c r="Y664" s="6"/>
      <c r="Z664" s="6" t="s">
        <v>147</v>
      </c>
      <c r="AA664" s="6" t="s">
        <v>94</v>
      </c>
    </row>
    <row r="665" spans="1:27" s="4" customFormat="1" ht="51.95" customHeight="1">
      <c r="A665" s="5">
        <v>0</v>
      </c>
      <c r="B665" s="6" t="s">
        <v>4406</v>
      </c>
      <c r="C665" s="7">
        <v>1590</v>
      </c>
      <c r="D665" s="8" t="s">
        <v>4407</v>
      </c>
      <c r="E665" s="8" t="s">
        <v>4408</v>
      </c>
      <c r="F665" s="8" t="s">
        <v>4409</v>
      </c>
      <c r="G665" s="6" t="s">
        <v>66</v>
      </c>
      <c r="H665" s="6" t="s">
        <v>79</v>
      </c>
      <c r="I665" s="8" t="s">
        <v>39</v>
      </c>
      <c r="J665" s="9">
        <v>1</v>
      </c>
      <c r="K665" s="9">
        <v>338</v>
      </c>
      <c r="L665" s="9">
        <v>2024</v>
      </c>
      <c r="M665" s="8" t="s">
        <v>4410</v>
      </c>
      <c r="N665" s="8" t="s">
        <v>41</v>
      </c>
      <c r="O665" s="8" t="s">
        <v>160</v>
      </c>
      <c r="P665" s="6" t="s">
        <v>43</v>
      </c>
      <c r="Q665" s="8" t="s">
        <v>44</v>
      </c>
      <c r="R665" s="10" t="s">
        <v>4411</v>
      </c>
      <c r="S665" s="11" t="s">
        <v>4412</v>
      </c>
      <c r="T665" s="6"/>
      <c r="U665" s="28" t="str">
        <f>HYPERLINK("https://media.infra-m.ru/2139/2139079/cover/2139079.jpg", "Обложка")</f>
        <v>Обложка</v>
      </c>
      <c r="V665" s="28" t="str">
        <f>HYPERLINK("https://znanium.ru/catalog/product/2139079", "Ознакомиться")</f>
        <v>Ознакомиться</v>
      </c>
      <c r="W665" s="8" t="s">
        <v>163</v>
      </c>
      <c r="X665" s="6"/>
      <c r="Y665" s="6"/>
      <c r="Z665" s="6"/>
      <c r="AA665" s="6" t="s">
        <v>534</v>
      </c>
    </row>
    <row r="666" spans="1:27" s="4" customFormat="1" ht="51.95" customHeight="1">
      <c r="A666" s="5">
        <v>0</v>
      </c>
      <c r="B666" s="6" t="s">
        <v>4413</v>
      </c>
      <c r="C666" s="7">
        <v>1044</v>
      </c>
      <c r="D666" s="8" t="s">
        <v>4414</v>
      </c>
      <c r="E666" s="8" t="s">
        <v>4415</v>
      </c>
      <c r="F666" s="8" t="s">
        <v>4416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231</v>
      </c>
      <c r="L666" s="9">
        <v>2023</v>
      </c>
      <c r="M666" s="8" t="s">
        <v>4417</v>
      </c>
      <c r="N666" s="8" t="s">
        <v>1171</v>
      </c>
      <c r="O666" s="8" t="s">
        <v>1172</v>
      </c>
      <c r="P666" s="6" t="s">
        <v>43</v>
      </c>
      <c r="Q666" s="8" t="s">
        <v>44</v>
      </c>
      <c r="R666" s="10" t="s">
        <v>4418</v>
      </c>
      <c r="S666" s="11"/>
      <c r="T666" s="6" t="s">
        <v>110</v>
      </c>
      <c r="U666" s="28" t="str">
        <f>HYPERLINK("https://media.infra-m.ru/2062/2062476/cover/2062476.jpg", "Обложка")</f>
        <v>Обложка</v>
      </c>
      <c r="V666" s="28" t="str">
        <f>HYPERLINK("https://znanium.ru/catalog/product/2051441", "Ознакомиться")</f>
        <v>Ознакомиться</v>
      </c>
      <c r="W666" s="8" t="s">
        <v>1906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4419</v>
      </c>
      <c r="C667" s="13">
        <v>750</v>
      </c>
      <c r="D667" s="8" t="s">
        <v>4420</v>
      </c>
      <c r="E667" s="8" t="s">
        <v>4421</v>
      </c>
      <c r="F667" s="8" t="s">
        <v>1735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155</v>
      </c>
      <c r="L667" s="9">
        <v>2024</v>
      </c>
      <c r="M667" s="8" t="s">
        <v>4422</v>
      </c>
      <c r="N667" s="8" t="s">
        <v>118</v>
      </c>
      <c r="O667" s="8" t="s">
        <v>119</v>
      </c>
      <c r="P667" s="6" t="s">
        <v>43</v>
      </c>
      <c r="Q667" s="8" t="s">
        <v>44</v>
      </c>
      <c r="R667" s="10" t="s">
        <v>4360</v>
      </c>
      <c r="S667" s="11" t="s">
        <v>4423</v>
      </c>
      <c r="T667" s="6"/>
      <c r="U667" s="28" t="str">
        <f>HYPERLINK("https://media.infra-m.ru/2116/2116989/cover/2116989.jpg", "Обложка")</f>
        <v>Обложка</v>
      </c>
      <c r="V667" s="28" t="str">
        <f>HYPERLINK("https://znanium.ru/catalog/product/2116989", "Ознакомиться")</f>
        <v>Ознакомиться</v>
      </c>
      <c r="W667" s="8" t="s">
        <v>4424</v>
      </c>
      <c r="X667" s="6"/>
      <c r="Y667" s="6"/>
      <c r="Z667" s="6"/>
      <c r="AA667" s="6" t="s">
        <v>656</v>
      </c>
    </row>
    <row r="668" spans="1:27" s="4" customFormat="1" ht="51.95" customHeight="1">
      <c r="A668" s="5">
        <v>0</v>
      </c>
      <c r="B668" s="6" t="s">
        <v>4425</v>
      </c>
      <c r="C668" s="7">
        <v>1610</v>
      </c>
      <c r="D668" s="8" t="s">
        <v>4426</v>
      </c>
      <c r="E668" s="8" t="s">
        <v>4427</v>
      </c>
      <c r="F668" s="8" t="s">
        <v>4428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344</v>
      </c>
      <c r="L668" s="9">
        <v>2024</v>
      </c>
      <c r="M668" s="8" t="s">
        <v>4429</v>
      </c>
      <c r="N668" s="8" t="s">
        <v>41</v>
      </c>
      <c r="O668" s="8" t="s">
        <v>514</v>
      </c>
      <c r="P668" s="6" t="s">
        <v>70</v>
      </c>
      <c r="Q668" s="8" t="s">
        <v>44</v>
      </c>
      <c r="R668" s="10" t="s">
        <v>4430</v>
      </c>
      <c r="S668" s="11" t="s">
        <v>4431</v>
      </c>
      <c r="T668" s="6" t="s">
        <v>110</v>
      </c>
      <c r="U668" s="28" t="str">
        <f>HYPERLINK("https://media.infra-m.ru/2033/2033536/cover/2033536.jpg", "Обложка")</f>
        <v>Обложка</v>
      </c>
      <c r="V668" s="28" t="str">
        <f>HYPERLINK("https://znanium.ru/catalog/product/2033536", "Ознакомиться")</f>
        <v>Ознакомиться</v>
      </c>
      <c r="W668" s="8" t="s">
        <v>541</v>
      </c>
      <c r="X668" s="6"/>
      <c r="Y668" s="6"/>
      <c r="Z668" s="6"/>
      <c r="AA668" s="6" t="s">
        <v>213</v>
      </c>
    </row>
    <row r="669" spans="1:27" s="4" customFormat="1" ht="51.95" customHeight="1">
      <c r="A669" s="5">
        <v>0</v>
      </c>
      <c r="B669" s="6" t="s">
        <v>4432</v>
      </c>
      <c r="C669" s="13">
        <v>964</v>
      </c>
      <c r="D669" s="8" t="s">
        <v>4433</v>
      </c>
      <c r="E669" s="8" t="s">
        <v>4434</v>
      </c>
      <c r="F669" s="8" t="s">
        <v>4435</v>
      </c>
      <c r="G669" s="6" t="s">
        <v>66</v>
      </c>
      <c r="H669" s="6" t="s">
        <v>38</v>
      </c>
      <c r="I669" s="8" t="s">
        <v>39</v>
      </c>
      <c r="J669" s="9">
        <v>1</v>
      </c>
      <c r="K669" s="9">
        <v>208</v>
      </c>
      <c r="L669" s="9">
        <v>2024</v>
      </c>
      <c r="M669" s="8" t="s">
        <v>4436</v>
      </c>
      <c r="N669" s="8" t="s">
        <v>1171</v>
      </c>
      <c r="O669" s="8" t="s">
        <v>1172</v>
      </c>
      <c r="P669" s="6" t="s">
        <v>43</v>
      </c>
      <c r="Q669" s="8" t="s">
        <v>44</v>
      </c>
      <c r="R669" s="10" t="s">
        <v>4437</v>
      </c>
      <c r="S669" s="11" t="s">
        <v>4438</v>
      </c>
      <c r="T669" s="6"/>
      <c r="U669" s="28" t="str">
        <f>HYPERLINK("https://media.infra-m.ru/2056/2056797/cover/2056797.jpg", "Обложка")</f>
        <v>Обложка</v>
      </c>
      <c r="V669" s="28" t="str">
        <f>HYPERLINK("https://znanium.ru/catalog/product/1228343", "Ознакомиться")</f>
        <v>Ознакомиться</v>
      </c>
      <c r="W669" s="8" t="s">
        <v>163</v>
      </c>
      <c r="X669" s="6"/>
      <c r="Y669" s="6"/>
      <c r="Z669" s="6"/>
      <c r="AA669" s="6" t="s">
        <v>237</v>
      </c>
    </row>
    <row r="670" spans="1:27" s="4" customFormat="1" ht="51.95" customHeight="1">
      <c r="A670" s="5">
        <v>0</v>
      </c>
      <c r="B670" s="6" t="s">
        <v>4439</v>
      </c>
      <c r="C670" s="7">
        <v>1220</v>
      </c>
      <c r="D670" s="8" t="s">
        <v>4440</v>
      </c>
      <c r="E670" s="8" t="s">
        <v>4441</v>
      </c>
      <c r="F670" s="8" t="s">
        <v>4442</v>
      </c>
      <c r="G670" s="6" t="s">
        <v>66</v>
      </c>
      <c r="H670" s="6" t="s">
        <v>283</v>
      </c>
      <c r="I670" s="8" t="s">
        <v>39</v>
      </c>
      <c r="J670" s="9">
        <v>1</v>
      </c>
      <c r="K670" s="9">
        <v>318</v>
      </c>
      <c r="L670" s="9">
        <v>2022</v>
      </c>
      <c r="M670" s="8" t="s">
        <v>4443</v>
      </c>
      <c r="N670" s="8" t="s">
        <v>41</v>
      </c>
      <c r="O670" s="8" t="s">
        <v>209</v>
      </c>
      <c r="P670" s="6" t="s">
        <v>70</v>
      </c>
      <c r="Q670" s="8" t="s">
        <v>44</v>
      </c>
      <c r="R670" s="10" t="s">
        <v>4444</v>
      </c>
      <c r="S670" s="11" t="s">
        <v>72</v>
      </c>
      <c r="T670" s="6"/>
      <c r="U670" s="28" t="str">
        <f>HYPERLINK("https://media.infra-m.ru/1858/1858934/cover/1858934.jpg", "Обложка")</f>
        <v>Обложка</v>
      </c>
      <c r="V670" s="28" t="str">
        <f>HYPERLINK("https://znanium.ru/catalog/product/1858934", "Ознакомиться")</f>
        <v>Ознакомиться</v>
      </c>
      <c r="W670" s="8"/>
      <c r="X670" s="6"/>
      <c r="Y670" s="6" t="s">
        <v>30</v>
      </c>
      <c r="Z670" s="6"/>
      <c r="AA670" s="6" t="s">
        <v>872</v>
      </c>
    </row>
    <row r="671" spans="1:27" s="4" customFormat="1" ht="51.95" customHeight="1">
      <c r="A671" s="5">
        <v>0</v>
      </c>
      <c r="B671" s="6" t="s">
        <v>4445</v>
      </c>
      <c r="C671" s="7">
        <v>1190</v>
      </c>
      <c r="D671" s="8" t="s">
        <v>4446</v>
      </c>
      <c r="E671" s="8" t="s">
        <v>4447</v>
      </c>
      <c r="F671" s="8" t="s">
        <v>4448</v>
      </c>
      <c r="G671" s="6" t="s">
        <v>37</v>
      </c>
      <c r="H671" s="6" t="s">
        <v>79</v>
      </c>
      <c r="I671" s="8" t="s">
        <v>39</v>
      </c>
      <c r="J671" s="9">
        <v>1</v>
      </c>
      <c r="K671" s="9">
        <v>264</v>
      </c>
      <c r="L671" s="9">
        <v>2023</v>
      </c>
      <c r="M671" s="8" t="s">
        <v>4449</v>
      </c>
      <c r="N671" s="8" t="s">
        <v>118</v>
      </c>
      <c r="O671" s="8" t="s">
        <v>336</v>
      </c>
      <c r="P671" s="6" t="s">
        <v>43</v>
      </c>
      <c r="Q671" s="8" t="s">
        <v>44</v>
      </c>
      <c r="R671" s="10" t="s">
        <v>4450</v>
      </c>
      <c r="S671" s="11" t="s">
        <v>4451</v>
      </c>
      <c r="T671" s="6"/>
      <c r="U671" s="28" t="str">
        <f>HYPERLINK("https://media.infra-m.ru/1837/1837052/cover/1837052.jpg", "Обложка")</f>
        <v>Обложка</v>
      </c>
      <c r="V671" s="28" t="str">
        <f>HYPERLINK("https://znanium.ru/catalog/product/1837052", "Ознакомиться")</f>
        <v>Ознакомиться</v>
      </c>
      <c r="W671" s="8" t="s">
        <v>4452</v>
      </c>
      <c r="X671" s="6"/>
      <c r="Y671" s="6"/>
      <c r="Z671" s="6"/>
      <c r="AA671" s="6" t="s">
        <v>85</v>
      </c>
    </row>
    <row r="672" spans="1:27" s="4" customFormat="1" ht="42" customHeight="1">
      <c r="A672" s="5">
        <v>0</v>
      </c>
      <c r="B672" s="6" t="s">
        <v>4453</v>
      </c>
      <c r="C672" s="7">
        <v>1384</v>
      </c>
      <c r="D672" s="8" t="s">
        <v>4454</v>
      </c>
      <c r="E672" s="8" t="s">
        <v>4455</v>
      </c>
      <c r="F672" s="8" t="s">
        <v>4456</v>
      </c>
      <c r="G672" s="6" t="s">
        <v>37</v>
      </c>
      <c r="H672" s="6" t="s">
        <v>55</v>
      </c>
      <c r="I672" s="8" t="s">
        <v>1004</v>
      </c>
      <c r="J672" s="9">
        <v>1</v>
      </c>
      <c r="K672" s="9">
        <v>308</v>
      </c>
      <c r="L672" s="9">
        <v>2023</v>
      </c>
      <c r="M672" s="8" t="s">
        <v>4457</v>
      </c>
      <c r="N672" s="8" t="s">
        <v>118</v>
      </c>
      <c r="O672" s="8" t="s">
        <v>336</v>
      </c>
      <c r="P672" s="6" t="s">
        <v>70</v>
      </c>
      <c r="Q672" s="8" t="s">
        <v>44</v>
      </c>
      <c r="R672" s="10" t="s">
        <v>4458</v>
      </c>
      <c r="S672" s="11"/>
      <c r="T672" s="6" t="s">
        <v>110</v>
      </c>
      <c r="U672" s="28" t="str">
        <f>HYPERLINK("https://media.infra-m.ru/1998/1998960/cover/1998960.jpg", "Обложка")</f>
        <v>Обложка</v>
      </c>
      <c r="V672" s="28" t="str">
        <f>HYPERLINK("https://znanium.ru/catalog/product/1081936", "Ознакомиться")</f>
        <v>Ознакомиться</v>
      </c>
      <c r="W672" s="8" t="s">
        <v>2277</v>
      </c>
      <c r="X672" s="6"/>
      <c r="Y672" s="6"/>
      <c r="Z672" s="6"/>
      <c r="AA672" s="6" t="s">
        <v>587</v>
      </c>
    </row>
    <row r="673" spans="1:27" s="4" customFormat="1" ht="51.95" customHeight="1">
      <c r="A673" s="5">
        <v>0</v>
      </c>
      <c r="B673" s="6" t="s">
        <v>4459</v>
      </c>
      <c r="C673" s="7">
        <v>1844</v>
      </c>
      <c r="D673" s="8" t="s">
        <v>4460</v>
      </c>
      <c r="E673" s="8" t="s">
        <v>4461</v>
      </c>
      <c r="F673" s="8" t="s">
        <v>4462</v>
      </c>
      <c r="G673" s="6" t="s">
        <v>37</v>
      </c>
      <c r="H673" s="6" t="s">
        <v>581</v>
      </c>
      <c r="I673" s="8"/>
      <c r="J673" s="9">
        <v>1</v>
      </c>
      <c r="K673" s="9">
        <v>400</v>
      </c>
      <c r="L673" s="9">
        <v>2023</v>
      </c>
      <c r="M673" s="8" t="s">
        <v>4463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4464</v>
      </c>
      <c r="S673" s="11" t="s">
        <v>4465</v>
      </c>
      <c r="T673" s="6"/>
      <c r="U673" s="28" t="str">
        <f>HYPERLINK("https://media.infra-m.ru/1891/1891842/cover/1891842.jpg", "Обложка")</f>
        <v>Обложка</v>
      </c>
      <c r="V673" s="28" t="str">
        <f>HYPERLINK("https://znanium.ru/catalog/product/1032055", "Ознакомиться")</f>
        <v>Ознакомиться</v>
      </c>
      <c r="W673" s="8" t="s">
        <v>4466</v>
      </c>
      <c r="X673" s="6"/>
      <c r="Y673" s="6"/>
      <c r="Z673" s="6"/>
      <c r="AA673" s="6" t="s">
        <v>237</v>
      </c>
    </row>
    <row r="674" spans="1:27" s="4" customFormat="1" ht="51.95" customHeight="1">
      <c r="A674" s="5">
        <v>0</v>
      </c>
      <c r="B674" s="6" t="s">
        <v>4467</v>
      </c>
      <c r="C674" s="7">
        <v>1174</v>
      </c>
      <c r="D674" s="8" t="s">
        <v>4468</v>
      </c>
      <c r="E674" s="8" t="s">
        <v>4469</v>
      </c>
      <c r="F674" s="8" t="s">
        <v>4470</v>
      </c>
      <c r="G674" s="6" t="s">
        <v>37</v>
      </c>
      <c r="H674" s="6" t="s">
        <v>38</v>
      </c>
      <c r="I674" s="8" t="s">
        <v>56</v>
      </c>
      <c r="J674" s="9">
        <v>1</v>
      </c>
      <c r="K674" s="9">
        <v>256</v>
      </c>
      <c r="L674" s="9">
        <v>2024</v>
      </c>
      <c r="M674" s="8" t="s">
        <v>4471</v>
      </c>
      <c r="N674" s="8" t="s">
        <v>118</v>
      </c>
      <c r="O674" s="8" t="s">
        <v>119</v>
      </c>
      <c r="P674" s="6" t="s">
        <v>43</v>
      </c>
      <c r="Q674" s="8" t="s">
        <v>44</v>
      </c>
      <c r="R674" s="10" t="s">
        <v>4472</v>
      </c>
      <c r="S674" s="11" t="s">
        <v>101</v>
      </c>
      <c r="T674" s="6"/>
      <c r="U674" s="28" t="str">
        <f>HYPERLINK("https://media.infra-m.ru/2104/2104120/cover/2104120.jpg", "Обложка")</f>
        <v>Обложка</v>
      </c>
      <c r="V674" s="28" t="str">
        <f>HYPERLINK("https://znanium.ru/catalog/product/1912054", "Ознакомиться")</f>
        <v>Ознакомиться</v>
      </c>
      <c r="W674" s="8" t="s">
        <v>474</v>
      </c>
      <c r="X674" s="6"/>
      <c r="Y674" s="6" t="s">
        <v>30</v>
      </c>
      <c r="Z674" s="6"/>
      <c r="AA674" s="6" t="s">
        <v>182</v>
      </c>
    </row>
    <row r="675" spans="1:27" s="4" customFormat="1" ht="51.95" customHeight="1">
      <c r="A675" s="5">
        <v>0</v>
      </c>
      <c r="B675" s="6" t="s">
        <v>4473</v>
      </c>
      <c r="C675" s="7">
        <v>1350</v>
      </c>
      <c r="D675" s="8" t="s">
        <v>4474</v>
      </c>
      <c r="E675" s="8" t="s">
        <v>4475</v>
      </c>
      <c r="F675" s="8" t="s">
        <v>471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288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4472</v>
      </c>
      <c r="S675" s="11" t="s">
        <v>260</v>
      </c>
      <c r="T675" s="6"/>
      <c r="U675" s="28" t="str">
        <f>HYPERLINK("https://media.infra-m.ru/1912/1912054/cover/1912054.jpg",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 t="s">
        <v>576</v>
      </c>
      <c r="Y675" s="6" t="s">
        <v>30</v>
      </c>
      <c r="Z675" s="6"/>
      <c r="AA675" s="6" t="s">
        <v>2625</v>
      </c>
    </row>
    <row r="676" spans="1:27" s="4" customFormat="1" ht="51.95" customHeight="1">
      <c r="A676" s="5">
        <v>0</v>
      </c>
      <c r="B676" s="6" t="s">
        <v>4477</v>
      </c>
      <c r="C676" s="13">
        <v>740</v>
      </c>
      <c r="D676" s="8" t="s">
        <v>4478</v>
      </c>
      <c r="E676" s="8" t="s">
        <v>4479</v>
      </c>
      <c r="F676" s="8" t="s">
        <v>4480</v>
      </c>
      <c r="G676" s="6" t="s">
        <v>66</v>
      </c>
      <c r="H676" s="6" t="s">
        <v>283</v>
      </c>
      <c r="I676" s="8" t="s">
        <v>39</v>
      </c>
      <c r="J676" s="9">
        <v>1</v>
      </c>
      <c r="K676" s="9">
        <v>160</v>
      </c>
      <c r="L676" s="9">
        <v>2024</v>
      </c>
      <c r="M676" s="8" t="s">
        <v>4481</v>
      </c>
      <c r="N676" s="8" t="s">
        <v>41</v>
      </c>
      <c r="O676" s="8" t="s">
        <v>160</v>
      </c>
      <c r="P676" s="6" t="s">
        <v>43</v>
      </c>
      <c r="Q676" s="8" t="s">
        <v>44</v>
      </c>
      <c r="R676" s="10" t="s">
        <v>553</v>
      </c>
      <c r="S676" s="11" t="s">
        <v>4482</v>
      </c>
      <c r="T676" s="6"/>
      <c r="U676" s="28" t="str">
        <f>HYPERLINK("https://media.infra-m.ru/2131/2131816/cover/2131816.jpg", "Обложка")</f>
        <v>Обложка</v>
      </c>
      <c r="V676" s="28" t="str">
        <f>HYPERLINK("https://znanium.ru/catalog/product/2131816", "Ознакомиться")</f>
        <v>Ознакомиться</v>
      </c>
      <c r="W676" s="8" t="s">
        <v>555</v>
      </c>
      <c r="X676" s="6"/>
      <c r="Y676" s="6"/>
      <c r="Z676" s="6" t="s">
        <v>48</v>
      </c>
      <c r="AA676" s="6" t="s">
        <v>414</v>
      </c>
    </row>
    <row r="677" spans="1:27" s="4" customFormat="1" ht="51.95" customHeight="1">
      <c r="A677" s="5">
        <v>0</v>
      </c>
      <c r="B677" s="6" t="s">
        <v>4483</v>
      </c>
      <c r="C677" s="7">
        <v>1010</v>
      </c>
      <c r="D677" s="8" t="s">
        <v>4484</v>
      </c>
      <c r="E677" s="8" t="s">
        <v>4485</v>
      </c>
      <c r="F677" s="8" t="s">
        <v>4486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224</v>
      </c>
      <c r="L677" s="9">
        <v>2023</v>
      </c>
      <c r="M677" s="8" t="s">
        <v>4487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2123</v>
      </c>
      <c r="S677" s="11" t="s">
        <v>4488</v>
      </c>
      <c r="T677" s="6"/>
      <c r="U677" s="28" t="str">
        <f>HYPERLINK("https://media.infra-m.ru/2010/2010597/cover/2010597.jpg", "Обложка")</f>
        <v>Обложка</v>
      </c>
      <c r="V677" s="28" t="str">
        <f>HYPERLINK("https://znanium.ru/catalog/product/2010597", "Ознакомиться")</f>
        <v>Ознакомиться</v>
      </c>
      <c r="W677" s="8" t="s">
        <v>726</v>
      </c>
      <c r="X677" s="6"/>
      <c r="Y677" s="6"/>
      <c r="Z677" s="6" t="s">
        <v>48</v>
      </c>
      <c r="AA677" s="6" t="s">
        <v>656</v>
      </c>
    </row>
    <row r="678" spans="1:27" s="4" customFormat="1" ht="51.95" customHeight="1">
      <c r="A678" s="5">
        <v>0</v>
      </c>
      <c r="B678" s="6" t="s">
        <v>4489</v>
      </c>
      <c r="C678" s="13">
        <v>544</v>
      </c>
      <c r="D678" s="8" t="s">
        <v>4490</v>
      </c>
      <c r="E678" s="8" t="s">
        <v>4491</v>
      </c>
      <c r="F678" s="8" t="s">
        <v>4492</v>
      </c>
      <c r="G678" s="6" t="s">
        <v>54</v>
      </c>
      <c r="H678" s="6" t="s">
        <v>79</v>
      </c>
      <c r="I678" s="8" t="s">
        <v>39</v>
      </c>
      <c r="J678" s="9">
        <v>1</v>
      </c>
      <c r="K678" s="9">
        <v>118</v>
      </c>
      <c r="L678" s="9">
        <v>2024</v>
      </c>
      <c r="M678" s="8" t="s">
        <v>4493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145</v>
      </c>
      <c r="S678" s="11" t="s">
        <v>1188</v>
      </c>
      <c r="T678" s="6"/>
      <c r="U678" s="28" t="str">
        <f>HYPERLINK("https://media.infra-m.ru/2102/2102661/cover/2102661.jpg", "Обложка")</f>
        <v>Обложка</v>
      </c>
      <c r="V678" s="28" t="str">
        <f>HYPERLINK("https://znanium.ru/catalog/product/1019936", "Ознакомиться")</f>
        <v>Ознакомиться</v>
      </c>
      <c r="W678" s="8" t="s">
        <v>2393</v>
      </c>
      <c r="X678" s="6"/>
      <c r="Y678" s="6"/>
      <c r="Z678" s="6" t="s">
        <v>48</v>
      </c>
      <c r="AA678" s="6" t="s">
        <v>122</v>
      </c>
    </row>
    <row r="679" spans="1:27" s="4" customFormat="1" ht="51.95" customHeight="1">
      <c r="A679" s="5">
        <v>0</v>
      </c>
      <c r="B679" s="6" t="s">
        <v>4494</v>
      </c>
      <c r="C679" s="13">
        <v>590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124</v>
      </c>
      <c r="L679" s="9">
        <v>2023</v>
      </c>
      <c r="M679" s="8" t="s">
        <v>4498</v>
      </c>
      <c r="N679" s="8" t="s">
        <v>41</v>
      </c>
      <c r="O679" s="8" t="s">
        <v>160</v>
      </c>
      <c r="P679" s="6" t="s">
        <v>43</v>
      </c>
      <c r="Q679" s="8" t="s">
        <v>44</v>
      </c>
      <c r="R679" s="10" t="s">
        <v>4499</v>
      </c>
      <c r="S679" s="11" t="s">
        <v>4500</v>
      </c>
      <c r="T679" s="6"/>
      <c r="U679" s="28" t="str">
        <f>HYPERLINK("https://media.infra-m.ru/1976/1976133/cover/1976133.jpg", "Обложка")</f>
        <v>Обложка</v>
      </c>
      <c r="V679" s="28" t="str">
        <f>HYPERLINK("https://znanium.ru/catalog/product/1976133", "Ознакомиться")</f>
        <v>Ознакомиться</v>
      </c>
      <c r="W679" s="8" t="s">
        <v>943</v>
      </c>
      <c r="X679" s="6"/>
      <c r="Y679" s="6"/>
      <c r="Z679" s="6" t="s">
        <v>48</v>
      </c>
      <c r="AA679" s="6" t="s">
        <v>656</v>
      </c>
    </row>
    <row r="680" spans="1:27" s="4" customFormat="1" ht="51.95" customHeight="1">
      <c r="A680" s="5">
        <v>0</v>
      </c>
      <c r="B680" s="6" t="s">
        <v>4501</v>
      </c>
      <c r="C680" s="7">
        <v>1180</v>
      </c>
      <c r="D680" s="8" t="s">
        <v>4502</v>
      </c>
      <c r="E680" s="8" t="s">
        <v>4503</v>
      </c>
      <c r="F680" s="8" t="s">
        <v>2009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236</v>
      </c>
      <c r="L680" s="9">
        <v>2024</v>
      </c>
      <c r="M680" s="8" t="s">
        <v>4504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4505</v>
      </c>
      <c r="S680" s="11" t="s">
        <v>4506</v>
      </c>
      <c r="T680" s="6"/>
      <c r="U680" s="28" t="str">
        <f>HYPERLINK("https://media.infra-m.ru/2073/2073477/cover/2073477.jpg", "Обложка")</f>
        <v>Обложка</v>
      </c>
      <c r="V680" s="28" t="str">
        <f>HYPERLINK("https://znanium.ru/catalog/product/2073477", "Ознакомиться")</f>
        <v>Ознакомиться</v>
      </c>
      <c r="W680" s="8"/>
      <c r="X680" s="6"/>
      <c r="Y680" s="6"/>
      <c r="Z680" s="6"/>
      <c r="AA680" s="6" t="s">
        <v>85</v>
      </c>
    </row>
    <row r="681" spans="1:27" s="4" customFormat="1" ht="51.95" customHeight="1">
      <c r="A681" s="5">
        <v>0</v>
      </c>
      <c r="B681" s="6" t="s">
        <v>4507</v>
      </c>
      <c r="C681" s="7">
        <v>1914</v>
      </c>
      <c r="D681" s="8" t="s">
        <v>4508</v>
      </c>
      <c r="E681" s="8" t="s">
        <v>4509</v>
      </c>
      <c r="F681" s="8" t="s">
        <v>4510</v>
      </c>
      <c r="G681" s="6" t="s">
        <v>66</v>
      </c>
      <c r="H681" s="6" t="s">
        <v>38</v>
      </c>
      <c r="I681" s="8" t="s">
        <v>39</v>
      </c>
      <c r="J681" s="9">
        <v>1</v>
      </c>
      <c r="K681" s="9">
        <v>416</v>
      </c>
      <c r="L681" s="9">
        <v>2024</v>
      </c>
      <c r="M681" s="8" t="s">
        <v>4511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59</v>
      </c>
      <c r="S681" s="11" t="s">
        <v>4512</v>
      </c>
      <c r="T681" s="6"/>
      <c r="U681" s="28" t="str">
        <f>HYPERLINK("https://media.infra-m.ru/2054/2054226/cover/2054226.jpg", "Обложка")</f>
        <v>Обложка</v>
      </c>
      <c r="V681" s="28" t="str">
        <f>HYPERLINK("https://znanium.ru/catalog/product/1190668", "Ознакомиться")</f>
        <v>Ознакомиться</v>
      </c>
      <c r="W681" s="8" t="s">
        <v>710</v>
      </c>
      <c r="X681" s="6"/>
      <c r="Y681" s="6"/>
      <c r="Z681" s="6"/>
      <c r="AA681" s="6" t="s">
        <v>4513</v>
      </c>
    </row>
    <row r="682" spans="1:27" s="4" customFormat="1" ht="51.95" customHeight="1">
      <c r="A682" s="5">
        <v>0</v>
      </c>
      <c r="B682" s="6" t="s">
        <v>4514</v>
      </c>
      <c r="C682" s="7">
        <v>1084.9000000000001</v>
      </c>
      <c r="D682" s="8" t="s">
        <v>4515</v>
      </c>
      <c r="E682" s="8" t="s">
        <v>4516</v>
      </c>
      <c r="F682" s="8" t="s">
        <v>4517</v>
      </c>
      <c r="G682" s="6" t="s">
        <v>37</v>
      </c>
      <c r="H682" s="6" t="s">
        <v>581</v>
      </c>
      <c r="I682" s="8" t="s">
        <v>582</v>
      </c>
      <c r="J682" s="9">
        <v>1</v>
      </c>
      <c r="K682" s="9">
        <v>240</v>
      </c>
      <c r="L682" s="9">
        <v>2023</v>
      </c>
      <c r="M682" s="8" t="s">
        <v>4518</v>
      </c>
      <c r="N682" s="8" t="s">
        <v>118</v>
      </c>
      <c r="O682" s="8" t="s">
        <v>119</v>
      </c>
      <c r="P682" s="6" t="s">
        <v>43</v>
      </c>
      <c r="Q682" s="8" t="s">
        <v>44</v>
      </c>
      <c r="R682" s="10" t="s">
        <v>2820</v>
      </c>
      <c r="S682" s="11" t="s">
        <v>4519</v>
      </c>
      <c r="T682" s="6"/>
      <c r="U682" s="28" t="str">
        <f>HYPERLINK("https://media.infra-m.ru/1894/1894508/cover/1894508.jpg", "Обложка")</f>
        <v>Обложка</v>
      </c>
      <c r="V682" s="28" t="str">
        <f>HYPERLINK("https://znanium.ru/catalog/product/2029815", "Ознакомиться")</f>
        <v>Ознакомиться</v>
      </c>
      <c r="W682" s="8" t="s">
        <v>365</v>
      </c>
      <c r="X682" s="6"/>
      <c r="Y682" s="6"/>
      <c r="Z682" s="6"/>
      <c r="AA682" s="6" t="s">
        <v>245</v>
      </c>
    </row>
    <row r="683" spans="1:27" s="4" customFormat="1" ht="51.95" customHeight="1">
      <c r="A683" s="5">
        <v>0</v>
      </c>
      <c r="B683" s="6" t="s">
        <v>4520</v>
      </c>
      <c r="C683" s="7">
        <v>1100</v>
      </c>
      <c r="D683" s="8" t="s">
        <v>4521</v>
      </c>
      <c r="E683" s="8" t="s">
        <v>4522</v>
      </c>
      <c r="F683" s="8" t="s">
        <v>4523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240</v>
      </c>
      <c r="L683" s="9">
        <v>2024</v>
      </c>
      <c r="M683" s="8" t="s">
        <v>4524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4519</v>
      </c>
      <c r="T683" s="6"/>
      <c r="U683" s="28" t="str">
        <f>HYPERLINK("https://media.infra-m.ru/2029/2029815/cover/2029815.jpg",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49</v>
      </c>
    </row>
    <row r="684" spans="1:27" s="4" customFormat="1" ht="51.95" customHeight="1">
      <c r="A684" s="5">
        <v>0</v>
      </c>
      <c r="B684" s="6" t="s">
        <v>4525</v>
      </c>
      <c r="C684" s="7">
        <v>1060</v>
      </c>
      <c r="D684" s="8" t="s">
        <v>4526</v>
      </c>
      <c r="E684" s="8" t="s">
        <v>4527</v>
      </c>
      <c r="F684" s="8" t="s">
        <v>186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223</v>
      </c>
      <c r="L684" s="9">
        <v>2024</v>
      </c>
      <c r="M684" s="8" t="s">
        <v>4528</v>
      </c>
      <c r="N684" s="8" t="s">
        <v>41</v>
      </c>
      <c r="O684" s="8" t="s">
        <v>209</v>
      </c>
      <c r="P684" s="6" t="s">
        <v>43</v>
      </c>
      <c r="Q684" s="8" t="s">
        <v>44</v>
      </c>
      <c r="R684" s="10" t="s">
        <v>4529</v>
      </c>
      <c r="S684" s="11" t="s">
        <v>4530</v>
      </c>
      <c r="T684" s="6"/>
      <c r="U684" s="28" t="str">
        <f>HYPERLINK("https://media.infra-m.ru/2131/2131473/cover/2131473.jpg", "Обложка")</f>
        <v>Обложка</v>
      </c>
      <c r="V684" s="28" t="str">
        <f>HYPERLINK("https://znanium.ru/catalog/product/2131473", "Ознакомиться")</f>
        <v>Ознакомиться</v>
      </c>
      <c r="W684" s="8" t="s">
        <v>190</v>
      </c>
      <c r="X684" s="6"/>
      <c r="Y684" s="6"/>
      <c r="Z684" s="6" t="s">
        <v>687</v>
      </c>
      <c r="AA684" s="6" t="s">
        <v>524</v>
      </c>
    </row>
    <row r="685" spans="1:27" s="4" customFormat="1" ht="42" customHeight="1">
      <c r="A685" s="5">
        <v>0</v>
      </c>
      <c r="B685" s="6" t="s">
        <v>4531</v>
      </c>
      <c r="C685" s="7">
        <v>1090</v>
      </c>
      <c r="D685" s="8" t="s">
        <v>4532</v>
      </c>
      <c r="E685" s="8" t="s">
        <v>4533</v>
      </c>
      <c r="F685" s="8" t="s">
        <v>4534</v>
      </c>
      <c r="G685" s="6" t="s">
        <v>66</v>
      </c>
      <c r="H685" s="6" t="s">
        <v>55</v>
      </c>
      <c r="I685" s="8" t="s">
        <v>56</v>
      </c>
      <c r="J685" s="9">
        <v>1</v>
      </c>
      <c r="K685" s="9">
        <v>232</v>
      </c>
      <c r="L685" s="9">
        <v>2024</v>
      </c>
      <c r="M685" s="8" t="s">
        <v>4535</v>
      </c>
      <c r="N685" s="8" t="s">
        <v>118</v>
      </c>
      <c r="O685" s="8" t="s">
        <v>2212</v>
      </c>
      <c r="P685" s="6" t="s">
        <v>70</v>
      </c>
      <c r="Q685" s="8" t="s">
        <v>44</v>
      </c>
      <c r="R685" s="10" t="s">
        <v>4536</v>
      </c>
      <c r="S685" s="11"/>
      <c r="T685" s="6"/>
      <c r="U685" s="28" t="str">
        <f>HYPERLINK("https://media.infra-m.ru/2136/2136106/cover/2136106.jpg", "Обложка")</f>
        <v>Обложка</v>
      </c>
      <c r="V685" s="12"/>
      <c r="W685" s="8" t="s">
        <v>4537</v>
      </c>
      <c r="X685" s="6" t="s">
        <v>664</v>
      </c>
      <c r="Y685" s="6"/>
      <c r="Z685" s="6"/>
      <c r="AA685" s="6" t="s">
        <v>339</v>
      </c>
    </row>
    <row r="686" spans="1:27" s="4" customFormat="1" ht="51.95" customHeight="1">
      <c r="A686" s="5">
        <v>0</v>
      </c>
      <c r="B686" s="6" t="s">
        <v>4538</v>
      </c>
      <c r="C686" s="7">
        <v>1634.9</v>
      </c>
      <c r="D686" s="8" t="s">
        <v>4539</v>
      </c>
      <c r="E686" s="8" t="s">
        <v>4540</v>
      </c>
      <c r="F686" s="8" t="s">
        <v>4541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364</v>
      </c>
      <c r="L686" s="9">
        <v>2023</v>
      </c>
      <c r="M686" s="8" t="s">
        <v>4542</v>
      </c>
      <c r="N686" s="8" t="s">
        <v>41</v>
      </c>
      <c r="O686" s="8" t="s">
        <v>1222</v>
      </c>
      <c r="P686" s="6" t="s">
        <v>70</v>
      </c>
      <c r="Q686" s="8" t="s">
        <v>44</v>
      </c>
      <c r="R686" s="10" t="s">
        <v>4543</v>
      </c>
      <c r="S686" s="11" t="s">
        <v>4544</v>
      </c>
      <c r="T686" s="6" t="s">
        <v>110</v>
      </c>
      <c r="U686" s="28" t="str">
        <f>HYPERLINK("https://media.infra-m.ru/1965/1965763/cover/1965763.jpg", "Обложка")</f>
        <v>Обложка</v>
      </c>
      <c r="V686" s="28" t="str">
        <f>HYPERLINK("https://znanium.ru/catalog/product/1010665", "Ознакомиться")</f>
        <v>Ознакомиться</v>
      </c>
      <c r="W686" s="8" t="s">
        <v>4545</v>
      </c>
      <c r="X686" s="6"/>
      <c r="Y686" s="6" t="s">
        <v>30</v>
      </c>
      <c r="Z686" s="6" t="s">
        <v>687</v>
      </c>
      <c r="AA686" s="6" t="s">
        <v>656</v>
      </c>
    </row>
    <row r="687" spans="1:27" s="4" customFormat="1" ht="51.95" customHeight="1">
      <c r="A687" s="5">
        <v>0</v>
      </c>
      <c r="B687" s="6" t="s">
        <v>4546</v>
      </c>
      <c r="C687" s="7">
        <v>1230</v>
      </c>
      <c r="D687" s="8" t="s">
        <v>4547</v>
      </c>
      <c r="E687" s="8" t="s">
        <v>4548</v>
      </c>
      <c r="F687" s="8" t="s">
        <v>4549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359</v>
      </c>
      <c r="L687" s="9">
        <v>2020</v>
      </c>
      <c r="M687" s="8" t="s">
        <v>4550</v>
      </c>
      <c r="N687" s="8" t="s">
        <v>41</v>
      </c>
      <c r="O687" s="8" t="s">
        <v>514</v>
      </c>
      <c r="P687" s="6" t="s">
        <v>43</v>
      </c>
      <c r="Q687" s="8" t="s">
        <v>44</v>
      </c>
      <c r="R687" s="10" t="s">
        <v>4551</v>
      </c>
      <c r="S687" s="11" t="s">
        <v>4552</v>
      </c>
      <c r="T687" s="6"/>
      <c r="U687" s="28" t="str">
        <f>HYPERLINK("https://media.infra-m.ru/1088/1088341/cover/1088341.jpg", "Обложка")</f>
        <v>Обложка</v>
      </c>
      <c r="V687" s="28" t="str">
        <f>HYPERLINK("https://znanium.ru/catalog/product/1088341", "Ознакомиться")</f>
        <v>Ознакомиться</v>
      </c>
      <c r="W687" s="8" t="s">
        <v>4553</v>
      </c>
      <c r="X687" s="6"/>
      <c r="Y687" s="6"/>
      <c r="Z687" s="6" t="s">
        <v>48</v>
      </c>
      <c r="AA687" s="6" t="s">
        <v>656</v>
      </c>
    </row>
    <row r="688" spans="1:27" s="4" customFormat="1" ht="51.95" customHeight="1">
      <c r="A688" s="5">
        <v>0</v>
      </c>
      <c r="B688" s="6" t="s">
        <v>4554</v>
      </c>
      <c r="C688" s="7">
        <v>1730</v>
      </c>
      <c r="D688" s="8" t="s">
        <v>4555</v>
      </c>
      <c r="E688" s="8" t="s">
        <v>4556</v>
      </c>
      <c r="F688" s="8" t="s">
        <v>4557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383</v>
      </c>
      <c r="L688" s="9">
        <v>2023</v>
      </c>
      <c r="M688" s="8" t="s">
        <v>4558</v>
      </c>
      <c r="N688" s="8" t="s">
        <v>118</v>
      </c>
      <c r="O688" s="8" t="s">
        <v>4018</v>
      </c>
      <c r="P688" s="6" t="s">
        <v>43</v>
      </c>
      <c r="Q688" s="8" t="s">
        <v>44</v>
      </c>
      <c r="R688" s="10" t="s">
        <v>4559</v>
      </c>
      <c r="S688" s="11" t="s">
        <v>4560</v>
      </c>
      <c r="T688" s="6"/>
      <c r="U688" s="28" t="str">
        <f>HYPERLINK("https://media.infra-m.ru/2063/2063328/cover/2063328.jpg", "Обложка")</f>
        <v>Обложка</v>
      </c>
      <c r="V688" s="28" t="str">
        <f>HYPERLINK("https://znanium.ru/catalog/product/1920369", "Ознакомиться")</f>
        <v>Ознакомиться</v>
      </c>
      <c r="W688" s="8" t="s">
        <v>3089</v>
      </c>
      <c r="X688" s="6"/>
      <c r="Y688" s="6"/>
      <c r="Z688" s="6" t="s">
        <v>48</v>
      </c>
      <c r="AA688" s="6" t="s">
        <v>85</v>
      </c>
    </row>
    <row r="689" spans="1:27" s="4" customFormat="1" ht="51.95" customHeight="1">
      <c r="A689" s="5">
        <v>0</v>
      </c>
      <c r="B689" s="6" t="s">
        <v>4561</v>
      </c>
      <c r="C689" s="7">
        <v>1214.9000000000001</v>
      </c>
      <c r="D689" s="8" t="s">
        <v>4562</v>
      </c>
      <c r="E689" s="8" t="s">
        <v>4563</v>
      </c>
      <c r="F689" s="8" t="s">
        <v>4564</v>
      </c>
      <c r="G689" s="6" t="s">
        <v>66</v>
      </c>
      <c r="H689" s="6" t="s">
        <v>283</v>
      </c>
      <c r="I689" s="8" t="s">
        <v>56</v>
      </c>
      <c r="J689" s="9">
        <v>1</v>
      </c>
      <c r="K689" s="9">
        <v>271</v>
      </c>
      <c r="L689" s="9">
        <v>2023</v>
      </c>
      <c r="M689" s="8" t="s">
        <v>4565</v>
      </c>
      <c r="N689" s="8" t="s">
        <v>118</v>
      </c>
      <c r="O689" s="8" t="s">
        <v>4018</v>
      </c>
      <c r="P689" s="6" t="s">
        <v>70</v>
      </c>
      <c r="Q689" s="8" t="s">
        <v>44</v>
      </c>
      <c r="R689" s="10" t="s">
        <v>4566</v>
      </c>
      <c r="S689" s="11" t="s">
        <v>2033</v>
      </c>
      <c r="T689" s="6"/>
      <c r="U689" s="28" t="str">
        <f>HYPERLINK("https://media.infra-m.ru/1913/1913508/cover/1913508.jpg", "Обложка")</f>
        <v>Обложка</v>
      </c>
      <c r="V689" s="28" t="str">
        <f>HYPERLINK("https://znanium.ru/catalog/product/1239538", "Ознакомиться")</f>
        <v>Ознакомиться</v>
      </c>
      <c r="W689" s="8" t="s">
        <v>3714</v>
      </c>
      <c r="X689" s="6"/>
      <c r="Y689" s="6"/>
      <c r="Z689" s="6"/>
      <c r="AA689" s="6" t="s">
        <v>702</v>
      </c>
    </row>
    <row r="690" spans="1:27" s="4" customFormat="1" ht="51.95" customHeight="1">
      <c r="A690" s="5">
        <v>0</v>
      </c>
      <c r="B690" s="6" t="s">
        <v>4567</v>
      </c>
      <c r="C690" s="7">
        <v>1034</v>
      </c>
      <c r="D690" s="8" t="s">
        <v>4568</v>
      </c>
      <c r="E690" s="8" t="s">
        <v>4563</v>
      </c>
      <c r="F690" s="8" t="s">
        <v>4569</v>
      </c>
      <c r="G690" s="6" t="s">
        <v>37</v>
      </c>
      <c r="H690" s="6" t="s">
        <v>38</v>
      </c>
      <c r="I690" s="8"/>
      <c r="J690" s="9">
        <v>1</v>
      </c>
      <c r="K690" s="9">
        <v>224</v>
      </c>
      <c r="L690" s="9">
        <v>2024</v>
      </c>
      <c r="M690" s="8" t="s">
        <v>4570</v>
      </c>
      <c r="N690" s="8" t="s">
        <v>118</v>
      </c>
      <c r="O690" s="8" t="s">
        <v>4018</v>
      </c>
      <c r="P690" s="6" t="s">
        <v>43</v>
      </c>
      <c r="Q690" s="8" t="s">
        <v>44</v>
      </c>
      <c r="R690" s="10" t="s">
        <v>4571</v>
      </c>
      <c r="S690" s="11" t="s">
        <v>993</v>
      </c>
      <c r="T690" s="6"/>
      <c r="U690" s="28" t="str">
        <f>HYPERLINK("https://media.infra-m.ru/2053/2053240/cover/2053240.jpg", "Обложка")</f>
        <v>Обложка</v>
      </c>
      <c r="V690" s="28" t="str">
        <f>HYPERLINK("https://znanium.ru/catalog/product/1819050", "Ознакомиться")</f>
        <v>Ознакомиться</v>
      </c>
      <c r="W690" s="8" t="s">
        <v>73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1164</v>
      </c>
      <c r="D691" s="8" t="s">
        <v>4573</v>
      </c>
      <c r="E691" s="8" t="s">
        <v>4574</v>
      </c>
      <c r="F691" s="8" t="s">
        <v>4575</v>
      </c>
      <c r="G691" s="6" t="s">
        <v>37</v>
      </c>
      <c r="H691" s="6" t="s">
        <v>38</v>
      </c>
      <c r="I691" s="8" t="s">
        <v>56</v>
      </c>
      <c r="J691" s="9">
        <v>1</v>
      </c>
      <c r="K691" s="9">
        <v>252</v>
      </c>
      <c r="L691" s="9">
        <v>2023</v>
      </c>
      <c r="M691" s="8" t="s">
        <v>4576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4577</v>
      </c>
      <c r="S691" s="11" t="s">
        <v>101</v>
      </c>
      <c r="T691" s="6"/>
      <c r="U691" s="28" t="str">
        <f>HYPERLINK("https://media.infra-m.ru/1913/1913512/cover/1913512.jpg", "Обложка")</f>
        <v>Обложка</v>
      </c>
      <c r="V691" s="28" t="str">
        <f>HYPERLINK("https://znanium.ru/catalog/product/1001520", "Ознакомиться")</f>
        <v>Ознакомиться</v>
      </c>
      <c r="W691" s="8" t="s">
        <v>73</v>
      </c>
      <c r="X691" s="6"/>
      <c r="Y691" s="6"/>
      <c r="Z691" s="6"/>
      <c r="AA691" s="6" t="s">
        <v>262</v>
      </c>
    </row>
    <row r="692" spans="1:27" s="4" customFormat="1" ht="51.95" customHeight="1">
      <c r="A692" s="5">
        <v>0</v>
      </c>
      <c r="B692" s="6" t="s">
        <v>4578</v>
      </c>
      <c r="C692" s="13">
        <v>964</v>
      </c>
      <c r="D692" s="8" t="s">
        <v>4579</v>
      </c>
      <c r="E692" s="8" t="s">
        <v>4563</v>
      </c>
      <c r="F692" s="8" t="s">
        <v>4580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204</v>
      </c>
      <c r="L692" s="9">
        <v>2024</v>
      </c>
      <c r="M692" s="8" t="s">
        <v>4581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4566</v>
      </c>
      <c r="S692" s="11" t="s">
        <v>4582</v>
      </c>
      <c r="T692" s="6"/>
      <c r="U692" s="28" t="str">
        <f>HYPERLINK("https://media.infra-m.ru/2131/2131751/cover/2131751.jpg", "Обложка")</f>
        <v>Обложка</v>
      </c>
      <c r="V692" s="28" t="str">
        <f>HYPERLINK("https://znanium.ru/catalog/product/1032374", "Ознакомиться")</f>
        <v>Ознакомиться</v>
      </c>
      <c r="W692" s="8" t="s">
        <v>2179</v>
      </c>
      <c r="X692" s="6"/>
      <c r="Y692" s="6"/>
      <c r="Z692" s="6"/>
      <c r="AA692" s="6" t="s">
        <v>2858</v>
      </c>
    </row>
    <row r="693" spans="1:27" s="4" customFormat="1" ht="51.95" customHeight="1">
      <c r="A693" s="5">
        <v>0</v>
      </c>
      <c r="B693" s="6" t="s">
        <v>4583</v>
      </c>
      <c r="C693" s="7">
        <v>1824</v>
      </c>
      <c r="D693" s="8" t="s">
        <v>4584</v>
      </c>
      <c r="E693" s="8" t="s">
        <v>4585</v>
      </c>
      <c r="F693" s="8" t="s">
        <v>4586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396</v>
      </c>
      <c r="L693" s="9">
        <v>2023</v>
      </c>
      <c r="M693" s="8" t="s">
        <v>4587</v>
      </c>
      <c r="N693" s="8" t="s">
        <v>1171</v>
      </c>
      <c r="O693" s="8" t="s">
        <v>1172</v>
      </c>
      <c r="P693" s="6" t="s">
        <v>70</v>
      </c>
      <c r="Q693" s="8" t="s">
        <v>44</v>
      </c>
      <c r="R693" s="10" t="s">
        <v>4588</v>
      </c>
      <c r="S693" s="11" t="s">
        <v>4589</v>
      </c>
      <c r="T693" s="6"/>
      <c r="U693" s="28" t="str">
        <f>HYPERLINK("https://media.infra-m.ru/2062/2062471/cover/2062471.jpg", "Обложка")</f>
        <v>Обложка</v>
      </c>
      <c r="V693" s="28" t="str">
        <f>HYPERLINK("https://znanium.ru/catalog/product/2051446", "Ознакомиться")</f>
        <v>Ознакомиться</v>
      </c>
      <c r="W693" s="8" t="s">
        <v>4590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4591</v>
      </c>
      <c r="C694" s="13">
        <v>864.9</v>
      </c>
      <c r="D694" s="8" t="s">
        <v>4592</v>
      </c>
      <c r="E694" s="8" t="s">
        <v>4593</v>
      </c>
      <c r="F694" s="8" t="s">
        <v>1688</v>
      </c>
      <c r="G694" s="6" t="s">
        <v>37</v>
      </c>
      <c r="H694" s="6" t="s">
        <v>283</v>
      </c>
      <c r="I694" s="8" t="s">
        <v>56</v>
      </c>
      <c r="J694" s="9">
        <v>1</v>
      </c>
      <c r="K694" s="9">
        <v>192</v>
      </c>
      <c r="L694" s="9">
        <v>2023</v>
      </c>
      <c r="M694" s="8" t="s">
        <v>4594</v>
      </c>
      <c r="N694" s="8" t="s">
        <v>118</v>
      </c>
      <c r="O694" s="8" t="s">
        <v>3706</v>
      </c>
      <c r="P694" s="6" t="s">
        <v>43</v>
      </c>
      <c r="Q694" s="8" t="s">
        <v>44</v>
      </c>
      <c r="R694" s="10" t="s">
        <v>4595</v>
      </c>
      <c r="S694" s="11" t="s">
        <v>4596</v>
      </c>
      <c r="T694" s="6"/>
      <c r="U694" s="28" t="str">
        <f>HYPERLINK("https://media.infra-m.ru/1913/1913188/cover/1913188.jpg", "Обложка")</f>
        <v>Обложка</v>
      </c>
      <c r="V694" s="28" t="str">
        <f>HYPERLINK("https://znanium.ru/catalog/product/1819258", "Ознакомиться")</f>
        <v>Ознакомиться</v>
      </c>
      <c r="W694" s="8" t="s">
        <v>163</v>
      </c>
      <c r="X694" s="6"/>
      <c r="Y694" s="6"/>
      <c r="Z694" s="6"/>
      <c r="AA694" s="6" t="s">
        <v>262</v>
      </c>
    </row>
    <row r="695" spans="1:27" s="4" customFormat="1" ht="51.95" customHeight="1">
      <c r="A695" s="5">
        <v>0</v>
      </c>
      <c r="B695" s="6" t="s">
        <v>4597</v>
      </c>
      <c r="C695" s="7">
        <v>1694</v>
      </c>
      <c r="D695" s="8" t="s">
        <v>4598</v>
      </c>
      <c r="E695" s="8" t="s">
        <v>4599</v>
      </c>
      <c r="F695" s="8" t="s">
        <v>292</v>
      </c>
      <c r="G695" s="6" t="s">
        <v>66</v>
      </c>
      <c r="H695" s="6" t="s">
        <v>283</v>
      </c>
      <c r="I695" s="8" t="s">
        <v>39</v>
      </c>
      <c r="J695" s="9">
        <v>1</v>
      </c>
      <c r="K695" s="9">
        <v>368</v>
      </c>
      <c r="L695" s="9">
        <v>2024</v>
      </c>
      <c r="M695" s="8" t="s">
        <v>4600</v>
      </c>
      <c r="N695" s="8" t="s">
        <v>41</v>
      </c>
      <c r="O695" s="8" t="s">
        <v>227</v>
      </c>
      <c r="P695" s="6" t="s">
        <v>43</v>
      </c>
      <c r="Q695" s="8" t="s">
        <v>44</v>
      </c>
      <c r="R695" s="10" t="s">
        <v>1662</v>
      </c>
      <c r="S695" s="11" t="s">
        <v>295</v>
      </c>
      <c r="T695" s="6"/>
      <c r="U695" s="28" t="str">
        <f>HYPERLINK("https://media.infra-m.ru/2053/2053254/cover/2053254.jpg", "Обложка")</f>
        <v>Обложка</v>
      </c>
      <c r="V695" s="28" t="str">
        <f>HYPERLINK("https://znanium.ru/catalog/product/1229330", "Ознакомиться")</f>
        <v>Ознакомиться</v>
      </c>
      <c r="W695" s="8" t="s">
        <v>296</v>
      </c>
      <c r="X695" s="6"/>
      <c r="Y695" s="6"/>
      <c r="Z695" s="6"/>
      <c r="AA695" s="6" t="s">
        <v>254</v>
      </c>
    </row>
    <row r="696" spans="1:27" s="4" customFormat="1" ht="51.95" customHeight="1">
      <c r="A696" s="5">
        <v>0</v>
      </c>
      <c r="B696" s="6" t="s">
        <v>4601</v>
      </c>
      <c r="C696" s="13">
        <v>900</v>
      </c>
      <c r="D696" s="8" t="s">
        <v>4602</v>
      </c>
      <c r="E696" s="8" t="s">
        <v>4603</v>
      </c>
      <c r="F696" s="8" t="s">
        <v>4604</v>
      </c>
      <c r="G696" s="6" t="s">
        <v>66</v>
      </c>
      <c r="H696" s="6" t="s">
        <v>38</v>
      </c>
      <c r="I696" s="8" t="s">
        <v>39</v>
      </c>
      <c r="J696" s="9">
        <v>1</v>
      </c>
      <c r="K696" s="9">
        <v>194</v>
      </c>
      <c r="L696" s="9">
        <v>2024</v>
      </c>
      <c r="M696" s="8" t="s">
        <v>4605</v>
      </c>
      <c r="N696" s="8" t="s">
        <v>41</v>
      </c>
      <c r="O696" s="8" t="s">
        <v>42</v>
      </c>
      <c r="P696" s="6" t="s">
        <v>43</v>
      </c>
      <c r="Q696" s="8" t="s">
        <v>44</v>
      </c>
      <c r="R696" s="10" t="s">
        <v>2051</v>
      </c>
      <c r="S696" s="11" t="s">
        <v>4606</v>
      </c>
      <c r="T696" s="6"/>
      <c r="U696" s="28" t="str">
        <f>HYPERLINK("https://media.infra-m.ru/2120/2120767/cover/2120767.jpg", "Обложка")</f>
        <v>Обложка</v>
      </c>
      <c r="V696" s="28" t="str">
        <f>HYPERLINK("https://znanium.ru/catalog/product/2120767", "Ознакомиться")</f>
        <v>Ознакомиться</v>
      </c>
      <c r="W696" s="8" t="s">
        <v>4607</v>
      </c>
      <c r="X696" s="6"/>
      <c r="Y696" s="6"/>
      <c r="Z696" s="6"/>
      <c r="AA696" s="6" t="s">
        <v>893</v>
      </c>
    </row>
    <row r="697" spans="1:27" s="4" customFormat="1" ht="51.95" customHeight="1">
      <c r="A697" s="5">
        <v>0</v>
      </c>
      <c r="B697" s="6" t="s">
        <v>4608</v>
      </c>
      <c r="C697" s="13">
        <v>464.9</v>
      </c>
      <c r="D697" s="8" t="s">
        <v>4609</v>
      </c>
      <c r="E697" s="8" t="s">
        <v>4610</v>
      </c>
      <c r="F697" s="8" t="s">
        <v>4604</v>
      </c>
      <c r="G697" s="6" t="s">
        <v>54</v>
      </c>
      <c r="H697" s="6" t="s">
        <v>38</v>
      </c>
      <c r="I697" s="8"/>
      <c r="J697" s="9">
        <v>1</v>
      </c>
      <c r="K697" s="9">
        <v>96</v>
      </c>
      <c r="L697" s="9">
        <v>2021</v>
      </c>
      <c r="M697" s="8" t="s">
        <v>4611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4612</v>
      </c>
      <c r="T697" s="6"/>
      <c r="U697" s="28" t="str">
        <f>HYPERLINK("https://media.infra-m.ru/1212/1212527/cover/1212527.jpg",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4607</v>
      </c>
      <c r="X697" s="6"/>
      <c r="Y697" s="6"/>
      <c r="Z697" s="6"/>
      <c r="AA697" s="6" t="s">
        <v>138</v>
      </c>
    </row>
    <row r="698" spans="1:27" s="4" customFormat="1" ht="51.95" customHeight="1">
      <c r="A698" s="5">
        <v>0</v>
      </c>
      <c r="B698" s="6" t="s">
        <v>4613</v>
      </c>
      <c r="C698" s="7">
        <v>1090</v>
      </c>
      <c r="D698" s="8" t="s">
        <v>4614</v>
      </c>
      <c r="E698" s="8" t="s">
        <v>4615</v>
      </c>
      <c r="F698" s="8" t="s">
        <v>4616</v>
      </c>
      <c r="G698" s="6" t="s">
        <v>66</v>
      </c>
      <c r="H698" s="6" t="s">
        <v>79</v>
      </c>
      <c r="I698" s="8" t="s">
        <v>39</v>
      </c>
      <c r="J698" s="9">
        <v>1</v>
      </c>
      <c r="K698" s="9">
        <v>320</v>
      </c>
      <c r="L698" s="9">
        <v>2019</v>
      </c>
      <c r="M698" s="8" t="s">
        <v>4617</v>
      </c>
      <c r="N698" s="8" t="s">
        <v>41</v>
      </c>
      <c r="O698" s="8" t="s">
        <v>227</v>
      </c>
      <c r="P698" s="6" t="s">
        <v>43</v>
      </c>
      <c r="Q698" s="8" t="s">
        <v>44</v>
      </c>
      <c r="R698" s="10" t="s">
        <v>4618</v>
      </c>
      <c r="S698" s="11" t="s">
        <v>4619</v>
      </c>
      <c r="T698" s="6"/>
      <c r="U698" s="28" t="str">
        <f>HYPERLINK("https://media.infra-m.ru/1023/1023805/cover/1023805.jpg", "Обложка")</f>
        <v>Обложка</v>
      </c>
      <c r="V698" s="28" t="str">
        <f>HYPERLINK("https://znanium.ru/catalog/product/1023805", "Ознакомиться")</f>
        <v>Ознакомиться</v>
      </c>
      <c r="W698" s="8" t="s">
        <v>3993</v>
      </c>
      <c r="X698" s="6"/>
      <c r="Y698" s="6"/>
      <c r="Z698" s="6" t="s">
        <v>687</v>
      </c>
      <c r="AA698" s="6" t="s">
        <v>94</v>
      </c>
    </row>
    <row r="699" spans="1:27" s="4" customFormat="1" ht="51.95" customHeight="1">
      <c r="A699" s="5">
        <v>0</v>
      </c>
      <c r="B699" s="6" t="s">
        <v>4620</v>
      </c>
      <c r="C699" s="7">
        <v>1524</v>
      </c>
      <c r="D699" s="8" t="s">
        <v>4621</v>
      </c>
      <c r="E699" s="8" t="s">
        <v>4622</v>
      </c>
      <c r="F699" s="8" t="s">
        <v>4623</v>
      </c>
      <c r="G699" s="6" t="s">
        <v>37</v>
      </c>
      <c r="H699" s="6" t="s">
        <v>283</v>
      </c>
      <c r="I699" s="8" t="s">
        <v>39</v>
      </c>
      <c r="J699" s="9">
        <v>1</v>
      </c>
      <c r="K699" s="9">
        <v>336</v>
      </c>
      <c r="L699" s="9">
        <v>2023</v>
      </c>
      <c r="M699" s="8" t="s">
        <v>4624</v>
      </c>
      <c r="N699" s="8" t="s">
        <v>41</v>
      </c>
      <c r="O699" s="8" t="s">
        <v>209</v>
      </c>
      <c r="P699" s="6" t="s">
        <v>43</v>
      </c>
      <c r="Q699" s="8" t="s">
        <v>44</v>
      </c>
      <c r="R699" s="10" t="s">
        <v>4625</v>
      </c>
      <c r="S699" s="11"/>
      <c r="T699" s="6"/>
      <c r="U699" s="28" t="str">
        <f>HYPERLINK("https://media.infra-m.ru/2021/2021437/cover/2021437.jpg", "Обложка")</f>
        <v>Обложка</v>
      </c>
      <c r="V699" s="28" t="str">
        <f>HYPERLINK("https://znanium.ru/catalog/product/961566", "Ознакомиться")</f>
        <v>Ознакомиться</v>
      </c>
      <c r="W699" s="8" t="s">
        <v>3347</v>
      </c>
      <c r="X699" s="6"/>
      <c r="Y699" s="6"/>
      <c r="Z699" s="6" t="s">
        <v>48</v>
      </c>
      <c r="AA699" s="6" t="s">
        <v>213</v>
      </c>
    </row>
    <row r="700" spans="1:27" s="4" customFormat="1" ht="51.95" customHeight="1">
      <c r="A700" s="5">
        <v>0</v>
      </c>
      <c r="B700" s="6" t="s">
        <v>4626</v>
      </c>
      <c r="C700" s="7">
        <v>2290</v>
      </c>
      <c r="D700" s="8" t="s">
        <v>4627</v>
      </c>
      <c r="E700" s="8" t="s">
        <v>4628</v>
      </c>
      <c r="F700" s="8" t="s">
        <v>4629</v>
      </c>
      <c r="G700" s="6" t="s">
        <v>66</v>
      </c>
      <c r="H700" s="6" t="s">
        <v>283</v>
      </c>
      <c r="I700" s="8" t="s">
        <v>39</v>
      </c>
      <c r="J700" s="9">
        <v>1</v>
      </c>
      <c r="K700" s="9">
        <v>448</v>
      </c>
      <c r="L700" s="9">
        <v>2023</v>
      </c>
      <c r="M700" s="8" t="s">
        <v>4630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4631</v>
      </c>
      <c r="S700" s="11" t="s">
        <v>4632</v>
      </c>
      <c r="T700" s="6"/>
      <c r="U700" s="28" t="str">
        <f>HYPERLINK("https://media.infra-m.ru/1979/1979055/cover/1979055.jpg", "Обложка")</f>
        <v>Обложка</v>
      </c>
      <c r="V700" s="28" t="str">
        <f>HYPERLINK("https://znanium.ru/catalog/product/1979055",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4633</v>
      </c>
      <c r="C701" s="7">
        <v>2284</v>
      </c>
      <c r="D701" s="8" t="s">
        <v>4634</v>
      </c>
      <c r="E701" s="8" t="s">
        <v>4635</v>
      </c>
      <c r="F701" s="8" t="s">
        <v>2596</v>
      </c>
      <c r="G701" s="6" t="s">
        <v>37</v>
      </c>
      <c r="H701" s="6" t="s">
        <v>79</v>
      </c>
      <c r="I701" s="8" t="s">
        <v>4636</v>
      </c>
      <c r="J701" s="9">
        <v>1</v>
      </c>
      <c r="K701" s="9">
        <v>487</v>
      </c>
      <c r="L701" s="9">
        <v>2024</v>
      </c>
      <c r="M701" s="8" t="s">
        <v>4637</v>
      </c>
      <c r="N701" s="8" t="s">
        <v>41</v>
      </c>
      <c r="O701" s="8" t="s">
        <v>160</v>
      </c>
      <c r="P701" s="6" t="s">
        <v>70</v>
      </c>
      <c r="Q701" s="8" t="s">
        <v>44</v>
      </c>
      <c r="R701" s="10" t="s">
        <v>202</v>
      </c>
      <c r="S701" s="11" t="s">
        <v>4638</v>
      </c>
      <c r="T701" s="6"/>
      <c r="U701" s="28" t="str">
        <f>HYPERLINK("https://media.infra-m.ru/2104/2104302/cover/2104302.jpg", "Обложка")</f>
        <v>Обложка</v>
      </c>
      <c r="V701" s="28" t="str">
        <f>HYPERLINK("https://znanium.ru/catalog/product/2046031", "Ознакомиться")</f>
        <v>Ознакомиться</v>
      </c>
      <c r="W701" s="8" t="s">
        <v>2599</v>
      </c>
      <c r="X701" s="6"/>
      <c r="Y701" s="6"/>
      <c r="Z701" s="6" t="s">
        <v>48</v>
      </c>
      <c r="AA701" s="6" t="s">
        <v>524</v>
      </c>
    </row>
    <row r="702" spans="1:27" s="4" customFormat="1" ht="51.95" customHeight="1">
      <c r="A702" s="5">
        <v>0</v>
      </c>
      <c r="B702" s="6" t="s">
        <v>4639</v>
      </c>
      <c r="C702" s="7">
        <v>1360</v>
      </c>
      <c r="D702" s="8" t="s">
        <v>4640</v>
      </c>
      <c r="E702" s="8" t="s">
        <v>4641</v>
      </c>
      <c r="F702" s="8" t="s">
        <v>4642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295</v>
      </c>
      <c r="L702" s="9">
        <v>2024</v>
      </c>
      <c r="M702" s="8" t="s">
        <v>4643</v>
      </c>
      <c r="N702" s="8" t="s">
        <v>41</v>
      </c>
      <c r="O702" s="8" t="s">
        <v>303</v>
      </c>
      <c r="P702" s="6" t="s">
        <v>70</v>
      </c>
      <c r="Q702" s="8" t="s">
        <v>44</v>
      </c>
      <c r="R702" s="10" t="s">
        <v>3345</v>
      </c>
      <c r="S702" s="11" t="s">
        <v>4644</v>
      </c>
      <c r="T702" s="6"/>
      <c r="U702" s="28" t="str">
        <f>HYPERLINK("https://media.infra-m.ru/2103/2103199/cover/2103199.jpg", "Обложка")</f>
        <v>Обложка</v>
      </c>
      <c r="V702" s="28" t="str">
        <f>HYPERLINK("https://znanium.ru/catalog/product/2103199", "Ознакомиться")</f>
        <v>Ознакомиться</v>
      </c>
      <c r="W702" s="8"/>
      <c r="X702" s="6"/>
      <c r="Y702" s="6"/>
      <c r="Z702" s="6" t="s">
        <v>48</v>
      </c>
      <c r="AA702" s="6" t="s">
        <v>1990</v>
      </c>
    </row>
    <row r="703" spans="1:27" s="4" customFormat="1" ht="51.95" customHeight="1">
      <c r="A703" s="5">
        <v>0</v>
      </c>
      <c r="B703" s="6" t="s">
        <v>4645</v>
      </c>
      <c r="C703" s="13">
        <v>980</v>
      </c>
      <c r="D703" s="8" t="s">
        <v>4646</v>
      </c>
      <c r="E703" s="8" t="s">
        <v>4647</v>
      </c>
      <c r="F703" s="8" t="s">
        <v>4648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208</v>
      </c>
      <c r="L703" s="9">
        <v>2024</v>
      </c>
      <c r="M703" s="8" t="s">
        <v>4649</v>
      </c>
      <c r="N703" s="8" t="s">
        <v>41</v>
      </c>
      <c r="O703" s="8" t="s">
        <v>178</v>
      </c>
      <c r="P703" s="6" t="s">
        <v>70</v>
      </c>
      <c r="Q703" s="8" t="s">
        <v>44</v>
      </c>
      <c r="R703" s="10" t="s">
        <v>4650</v>
      </c>
      <c r="S703" s="11" t="s">
        <v>2507</v>
      </c>
      <c r="T703" s="6"/>
      <c r="U703" s="28" t="str">
        <f>HYPERLINK("https://media.infra-m.ru/2131/2131533/cover/2131533.jpg", "Обложка")</f>
        <v>Обложка</v>
      </c>
      <c r="V703" s="28" t="str">
        <f>HYPERLINK("https://znanium.ru/catalog/product/2131533", "Ознакомиться")</f>
        <v>Ознакомиться</v>
      </c>
      <c r="W703" s="8" t="s">
        <v>181</v>
      </c>
      <c r="X703" s="6"/>
      <c r="Y703" s="6"/>
      <c r="Z703" s="6"/>
      <c r="AA703" s="6" t="s">
        <v>1358</v>
      </c>
    </row>
    <row r="704" spans="1:27" s="4" customFormat="1" ht="51.95" customHeight="1">
      <c r="A704" s="5">
        <v>0</v>
      </c>
      <c r="B704" s="6" t="s">
        <v>4651</v>
      </c>
      <c r="C704" s="7">
        <v>1324</v>
      </c>
      <c r="D704" s="8" t="s">
        <v>4652</v>
      </c>
      <c r="E704" s="8" t="s">
        <v>4653</v>
      </c>
      <c r="F704" s="8" t="s">
        <v>4654</v>
      </c>
      <c r="G704" s="6" t="s">
        <v>37</v>
      </c>
      <c r="H704" s="6" t="s">
        <v>79</v>
      </c>
      <c r="I704" s="8" t="s">
        <v>39</v>
      </c>
      <c r="J704" s="9">
        <v>1</v>
      </c>
      <c r="K704" s="9">
        <v>295</v>
      </c>
      <c r="L704" s="9">
        <v>2023</v>
      </c>
      <c r="M704" s="8" t="s">
        <v>4655</v>
      </c>
      <c r="N704" s="8" t="s">
        <v>41</v>
      </c>
      <c r="O704" s="8" t="s">
        <v>160</v>
      </c>
      <c r="P704" s="6" t="s">
        <v>70</v>
      </c>
      <c r="Q704" s="8" t="s">
        <v>44</v>
      </c>
      <c r="R704" s="10" t="s">
        <v>202</v>
      </c>
      <c r="S704" s="11" t="s">
        <v>4656</v>
      </c>
      <c r="T704" s="6"/>
      <c r="U704" s="28" t="str">
        <f>HYPERLINK("https://media.infra-m.ru/1976/1976153/cover/1976153.jpg", "Обложка")</f>
        <v>Обложка</v>
      </c>
      <c r="V704" s="28" t="str">
        <f>HYPERLINK("https://znanium.ru/catalog/product/1018415", "Ознакомиться")</f>
        <v>Ознакомиться</v>
      </c>
      <c r="W704" s="8" t="s">
        <v>172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4657</v>
      </c>
      <c r="C705" s="7">
        <v>1130</v>
      </c>
      <c r="D705" s="8" t="s">
        <v>4658</v>
      </c>
      <c r="E705" s="8" t="s">
        <v>4659</v>
      </c>
      <c r="F705" s="8" t="s">
        <v>4660</v>
      </c>
      <c r="G705" s="6" t="s">
        <v>66</v>
      </c>
      <c r="H705" s="6" t="s">
        <v>79</v>
      </c>
      <c r="I705" s="8" t="s">
        <v>39</v>
      </c>
      <c r="J705" s="9">
        <v>1</v>
      </c>
      <c r="K705" s="9">
        <v>330</v>
      </c>
      <c r="L705" s="9">
        <v>2021</v>
      </c>
      <c r="M705" s="8" t="s">
        <v>4661</v>
      </c>
      <c r="N705" s="8" t="s">
        <v>41</v>
      </c>
      <c r="O705" s="8" t="s">
        <v>160</v>
      </c>
      <c r="P705" s="6" t="s">
        <v>43</v>
      </c>
      <c r="Q705" s="8" t="s">
        <v>44</v>
      </c>
      <c r="R705" s="10" t="s">
        <v>202</v>
      </c>
      <c r="S705" s="11" t="s">
        <v>4662</v>
      </c>
      <c r="T705" s="6" t="s">
        <v>110</v>
      </c>
      <c r="U705" s="28" t="str">
        <f>HYPERLINK("https://media.infra-m.ru/1043/1043100/cover/1043100.jpg", "Обложка")</f>
        <v>Обложка</v>
      </c>
      <c r="V705" s="28" t="str">
        <f>HYPERLINK("https://znanium.ru/catalog/product/1043100", "Ознакомиться")</f>
        <v>Ознакомиться</v>
      </c>
      <c r="W705" s="8" t="s">
        <v>1320</v>
      </c>
      <c r="X705" s="6"/>
      <c r="Y705" s="6"/>
      <c r="Z705" s="6" t="s">
        <v>48</v>
      </c>
      <c r="AA705" s="6" t="s">
        <v>893</v>
      </c>
    </row>
    <row r="706" spans="1:27" s="4" customFormat="1" ht="51.95" customHeight="1">
      <c r="A706" s="5">
        <v>0</v>
      </c>
      <c r="B706" s="6" t="s">
        <v>4663</v>
      </c>
      <c r="C706" s="7">
        <v>1550</v>
      </c>
      <c r="D706" s="8" t="s">
        <v>4664</v>
      </c>
      <c r="E706" s="8" t="s">
        <v>4665</v>
      </c>
      <c r="F706" s="8" t="s">
        <v>4666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336</v>
      </c>
      <c r="L706" s="9">
        <v>2024</v>
      </c>
      <c r="M706" s="8" t="s">
        <v>4667</v>
      </c>
      <c r="N706" s="8" t="s">
        <v>118</v>
      </c>
      <c r="O706" s="8" t="s">
        <v>119</v>
      </c>
      <c r="P706" s="6" t="s">
        <v>43</v>
      </c>
      <c r="Q706" s="8" t="s">
        <v>44</v>
      </c>
      <c r="R706" s="10" t="s">
        <v>4668</v>
      </c>
      <c r="S706" s="11" t="s">
        <v>4669</v>
      </c>
      <c r="T706" s="6"/>
      <c r="U706" s="28" t="str">
        <f>HYPERLINK("https://media.infra-m.ru/2079/2079940/cover/2079940.jpg", "Обложка")</f>
        <v>Обложка</v>
      </c>
      <c r="V706" s="28" t="str">
        <f>HYPERLINK("https://znanium.ru/catalog/product/2079940", "Ознакомиться")</f>
        <v>Ознакомиться</v>
      </c>
      <c r="W706" s="8" t="s">
        <v>533</v>
      </c>
      <c r="X706" s="6"/>
      <c r="Y706" s="6"/>
      <c r="Z706" s="6" t="s">
        <v>48</v>
      </c>
      <c r="AA706" s="6" t="s">
        <v>1990</v>
      </c>
    </row>
    <row r="707" spans="1:27" s="4" customFormat="1" ht="51.95" customHeight="1">
      <c r="A707" s="5">
        <v>0</v>
      </c>
      <c r="B707" s="6" t="s">
        <v>4670</v>
      </c>
      <c r="C707" s="7">
        <v>1090</v>
      </c>
      <c r="D707" s="8" t="s">
        <v>4671</v>
      </c>
      <c r="E707" s="8" t="s">
        <v>4672</v>
      </c>
      <c r="F707" s="8" t="s">
        <v>4673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235</v>
      </c>
      <c r="L707" s="9">
        <v>2023</v>
      </c>
      <c r="M707" s="8" t="s">
        <v>4674</v>
      </c>
      <c r="N707" s="8" t="s">
        <v>41</v>
      </c>
      <c r="O707" s="8" t="s">
        <v>160</v>
      </c>
      <c r="P707" s="6" t="s">
        <v>43</v>
      </c>
      <c r="Q707" s="8" t="s">
        <v>44</v>
      </c>
      <c r="R707" s="10" t="s">
        <v>202</v>
      </c>
      <c r="S707" s="11" t="s">
        <v>4675</v>
      </c>
      <c r="T707" s="6"/>
      <c r="U707" s="28" t="str">
        <f>HYPERLINK("https://media.infra-m.ru/1903/1903736/cover/1903736.jpg", "Обложка")</f>
        <v>Обложка</v>
      </c>
      <c r="V707" s="28" t="str">
        <f>HYPERLINK("https://znanium.ru/catalog/product/1903736", "Ознакомиться")</f>
        <v>Ознакомиться</v>
      </c>
      <c r="W707" s="8" t="s">
        <v>1225</v>
      </c>
      <c r="X707" s="6"/>
      <c r="Y707" s="6"/>
      <c r="Z707" s="6" t="s">
        <v>48</v>
      </c>
      <c r="AA707" s="6" t="s">
        <v>94</v>
      </c>
    </row>
    <row r="708" spans="1:27" s="4" customFormat="1" ht="51.95" customHeight="1">
      <c r="A708" s="5">
        <v>0</v>
      </c>
      <c r="B708" s="6" t="s">
        <v>4676</v>
      </c>
      <c r="C708" s="7">
        <v>1020</v>
      </c>
      <c r="D708" s="8" t="s">
        <v>4677</v>
      </c>
      <c r="E708" s="8" t="s">
        <v>4678</v>
      </c>
      <c r="F708" s="8" t="s">
        <v>4679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221</v>
      </c>
      <c r="L708" s="9">
        <v>2023</v>
      </c>
      <c r="M708" s="8" t="s">
        <v>4680</v>
      </c>
      <c r="N708" s="8" t="s">
        <v>118</v>
      </c>
      <c r="O708" s="8" t="s">
        <v>119</v>
      </c>
      <c r="P708" s="6" t="s">
        <v>43</v>
      </c>
      <c r="Q708" s="8" t="s">
        <v>44</v>
      </c>
      <c r="R708" s="10" t="s">
        <v>739</v>
      </c>
      <c r="S708" s="11" t="s">
        <v>4681</v>
      </c>
      <c r="T708" s="6"/>
      <c r="U708" s="28" t="str">
        <f>HYPERLINK("https://media.infra-m.ru/1976/1976197/cover/1976197.jpg", "Обложка")</f>
        <v>Обложка</v>
      </c>
      <c r="V708" s="28" t="str">
        <f>HYPERLINK("https://znanium.ru/catalog/product/1976197", "Ознакомиться")</f>
        <v>Ознакомиться</v>
      </c>
      <c r="W708" s="8" t="s">
        <v>1048</v>
      </c>
      <c r="X708" s="6"/>
      <c r="Y708" s="6"/>
      <c r="Z708" s="6"/>
      <c r="AA708" s="6" t="s">
        <v>656</v>
      </c>
    </row>
    <row r="709" spans="1:27" s="4" customFormat="1" ht="51.95" customHeight="1">
      <c r="A709" s="5">
        <v>0</v>
      </c>
      <c r="B709" s="6" t="s">
        <v>4682</v>
      </c>
      <c r="C709" s="7">
        <v>1514.9</v>
      </c>
      <c r="D709" s="8" t="s">
        <v>4683</v>
      </c>
      <c r="E709" s="8" t="s">
        <v>4684</v>
      </c>
      <c r="F709" s="8" t="s">
        <v>4685</v>
      </c>
      <c r="G709" s="6" t="s">
        <v>37</v>
      </c>
      <c r="H709" s="6" t="s">
        <v>79</v>
      </c>
      <c r="I709" s="8" t="s">
        <v>39</v>
      </c>
      <c r="J709" s="9">
        <v>1</v>
      </c>
      <c r="K709" s="9">
        <v>336</v>
      </c>
      <c r="L709" s="9">
        <v>2023</v>
      </c>
      <c r="M709" s="8" t="s">
        <v>4686</v>
      </c>
      <c r="N709" s="8" t="s">
        <v>41</v>
      </c>
      <c r="O709" s="8" t="s">
        <v>178</v>
      </c>
      <c r="P709" s="6" t="s">
        <v>70</v>
      </c>
      <c r="Q709" s="8" t="s">
        <v>44</v>
      </c>
      <c r="R709" s="10" t="s">
        <v>4687</v>
      </c>
      <c r="S709" s="11" t="s">
        <v>4688</v>
      </c>
      <c r="T709" s="6"/>
      <c r="U709" s="28" t="str">
        <f>HYPERLINK("https://media.infra-m.ru/2030/2030872/cover/2030872.jpg", "Обложка")</f>
        <v>Обложка</v>
      </c>
      <c r="V709" s="28" t="str">
        <f>HYPERLINK("https://znanium.ru/catalog/product/1069050", "Ознакомиться")</f>
        <v>Ознакомиться</v>
      </c>
      <c r="W709" s="8" t="s">
        <v>1913</v>
      </c>
      <c r="X709" s="6"/>
      <c r="Y709" s="6"/>
      <c r="Z709" s="6" t="s">
        <v>48</v>
      </c>
      <c r="AA709" s="6" t="s">
        <v>94</v>
      </c>
    </row>
    <row r="710" spans="1:27" s="4" customFormat="1" ht="51.95" customHeight="1">
      <c r="A710" s="5">
        <v>0</v>
      </c>
      <c r="B710" s="6" t="s">
        <v>4689</v>
      </c>
      <c r="C710" s="7">
        <v>2594</v>
      </c>
      <c r="D710" s="8" t="s">
        <v>4690</v>
      </c>
      <c r="E710" s="8" t="s">
        <v>4691</v>
      </c>
      <c r="F710" s="8" t="s">
        <v>4692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567</v>
      </c>
      <c r="L710" s="9">
        <v>2024</v>
      </c>
      <c r="M710" s="8" t="s">
        <v>4693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905</v>
      </c>
      <c r="S710" s="11" t="s">
        <v>4694</v>
      </c>
      <c r="T710" s="6"/>
      <c r="U710" s="28" t="str">
        <f>HYPERLINK("https://media.infra-m.ru/2105/2105785/cover/2105785.jpg", "Обложка")</f>
        <v>Обложка</v>
      </c>
      <c r="V710" s="28" t="str">
        <f>HYPERLINK("https://znanium.ru/catalog/product/1855504", "Ознакомиться")</f>
        <v>Ознакомиться</v>
      </c>
      <c r="W710" s="8" t="s">
        <v>163</v>
      </c>
      <c r="X710" s="6"/>
      <c r="Y710" s="6"/>
      <c r="Z710" s="6"/>
      <c r="AA710" s="6" t="s">
        <v>213</v>
      </c>
    </row>
    <row r="711" spans="1:27" s="4" customFormat="1" ht="42" customHeight="1">
      <c r="A711" s="5">
        <v>0</v>
      </c>
      <c r="B711" s="6" t="s">
        <v>4695</v>
      </c>
      <c r="C711" s="7">
        <v>1470</v>
      </c>
      <c r="D711" s="8" t="s">
        <v>4696</v>
      </c>
      <c r="E711" s="8" t="s">
        <v>4697</v>
      </c>
      <c r="F711" s="8" t="s">
        <v>4698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306</v>
      </c>
      <c r="L711" s="9">
        <v>2024</v>
      </c>
      <c r="M711" s="8" t="s">
        <v>4699</v>
      </c>
      <c r="N711" s="8" t="s">
        <v>118</v>
      </c>
      <c r="O711" s="8" t="s">
        <v>119</v>
      </c>
      <c r="P711" s="6" t="s">
        <v>70</v>
      </c>
      <c r="Q711" s="8" t="s">
        <v>44</v>
      </c>
      <c r="R711" s="10" t="s">
        <v>739</v>
      </c>
      <c r="S711" s="11"/>
      <c r="T711" s="6"/>
      <c r="U711" s="28" t="str">
        <f>HYPERLINK("https://media.infra-m.ru/2145/2145084/cover/2145084.jpg", "Обложка")</f>
        <v>Обложка</v>
      </c>
      <c r="V711" s="28" t="str">
        <f>HYPERLINK("https://znanium.ru/catalog/product/2145084", "Ознакомиться")</f>
        <v>Ознакомиться</v>
      </c>
      <c r="W711" s="8" t="s">
        <v>4700</v>
      </c>
      <c r="X711" s="6"/>
      <c r="Y711" s="6"/>
      <c r="Z711" s="6"/>
      <c r="AA711" s="6" t="s">
        <v>339</v>
      </c>
    </row>
    <row r="712" spans="1:27" s="4" customFormat="1" ht="51.95" customHeight="1">
      <c r="A712" s="5">
        <v>0</v>
      </c>
      <c r="B712" s="6" t="s">
        <v>4701</v>
      </c>
      <c r="C712" s="7">
        <v>1330</v>
      </c>
      <c r="D712" s="8" t="s">
        <v>4702</v>
      </c>
      <c r="E712" s="8" t="s">
        <v>4703</v>
      </c>
      <c r="F712" s="8" t="s">
        <v>4704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213</v>
      </c>
      <c r="L712" s="9">
        <v>2024</v>
      </c>
      <c r="M712" s="8" t="s">
        <v>4705</v>
      </c>
      <c r="N712" s="8" t="s">
        <v>118</v>
      </c>
      <c r="O712" s="8" t="s">
        <v>336</v>
      </c>
      <c r="P712" s="6" t="s">
        <v>70</v>
      </c>
      <c r="Q712" s="8" t="s">
        <v>44</v>
      </c>
      <c r="R712" s="10" t="s">
        <v>2565</v>
      </c>
      <c r="S712" s="11" t="s">
        <v>3783</v>
      </c>
      <c r="T712" s="6"/>
      <c r="U712" s="28" t="str">
        <f>HYPERLINK("https://media.infra-m.ru/2145/2145958/cover/2145958.jpg", "Обложка")</f>
        <v>Обложка</v>
      </c>
      <c r="V712" s="28" t="str">
        <f>HYPERLINK("https://znanium.ru/catalog/product/2145958", "Ознакомиться")</f>
        <v>Ознакомиться</v>
      </c>
      <c r="W712" s="8" t="s">
        <v>4706</v>
      </c>
      <c r="X712" s="6"/>
      <c r="Y712" s="6"/>
      <c r="Z712" s="6"/>
      <c r="AA712" s="6" t="s">
        <v>85</v>
      </c>
    </row>
    <row r="713" spans="1:27" s="4" customFormat="1" ht="51.95" customHeight="1">
      <c r="A713" s="5">
        <v>0</v>
      </c>
      <c r="B713" s="6" t="s">
        <v>4707</v>
      </c>
      <c r="C713" s="13">
        <v>824</v>
      </c>
      <c r="D713" s="8" t="s">
        <v>4708</v>
      </c>
      <c r="E713" s="8" t="s">
        <v>4709</v>
      </c>
      <c r="F713" s="8" t="s">
        <v>4710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179</v>
      </c>
      <c r="L713" s="9">
        <v>2024</v>
      </c>
      <c r="M713" s="8" t="s">
        <v>4711</v>
      </c>
      <c r="N713" s="8" t="s">
        <v>1171</v>
      </c>
      <c r="O713" s="8" t="s">
        <v>1172</v>
      </c>
      <c r="P713" s="6" t="s">
        <v>43</v>
      </c>
      <c r="Q713" s="8" t="s">
        <v>44</v>
      </c>
      <c r="R713" s="10" t="s">
        <v>4712</v>
      </c>
      <c r="S713" s="11" t="s">
        <v>4713</v>
      </c>
      <c r="T713" s="6" t="s">
        <v>110</v>
      </c>
      <c r="U713" s="28" t="str">
        <f>HYPERLINK("https://media.infra-m.ru/2086/2086833/cover/2086833.jpg", "Обложка")</f>
        <v>Обложка</v>
      </c>
      <c r="V713" s="28" t="str">
        <f>HYPERLINK("https://znanium.ru/catalog/product/1039173", "Ознакомиться")</f>
        <v>Ознакомиться</v>
      </c>
      <c r="W713" s="8" t="s">
        <v>4714</v>
      </c>
      <c r="X713" s="6"/>
      <c r="Y713" s="6"/>
      <c r="Z713" s="6"/>
      <c r="AA713" s="6" t="s">
        <v>94</v>
      </c>
    </row>
    <row r="714" spans="1:27" s="4" customFormat="1" ht="51.95" customHeight="1">
      <c r="A714" s="5">
        <v>0</v>
      </c>
      <c r="B714" s="6" t="s">
        <v>4715</v>
      </c>
      <c r="C714" s="7">
        <v>2160</v>
      </c>
      <c r="D714" s="8" t="s">
        <v>4716</v>
      </c>
      <c r="E714" s="8" t="s">
        <v>4717</v>
      </c>
      <c r="F714" s="8" t="s">
        <v>4718</v>
      </c>
      <c r="G714" s="6" t="s">
        <v>66</v>
      </c>
      <c r="H714" s="6" t="s">
        <v>283</v>
      </c>
      <c r="I714" s="8" t="s">
        <v>39</v>
      </c>
      <c r="J714" s="9">
        <v>1</v>
      </c>
      <c r="K714" s="9">
        <v>480</v>
      </c>
      <c r="L714" s="9">
        <v>2023</v>
      </c>
      <c r="M714" s="8" t="s">
        <v>4719</v>
      </c>
      <c r="N714" s="8" t="s">
        <v>68</v>
      </c>
      <c r="O714" s="8" t="s">
        <v>2754</v>
      </c>
      <c r="P714" s="6" t="s">
        <v>70</v>
      </c>
      <c r="Q714" s="8" t="s">
        <v>44</v>
      </c>
      <c r="R714" s="10" t="s">
        <v>4720</v>
      </c>
      <c r="S714" s="11" t="s">
        <v>2033</v>
      </c>
      <c r="T714" s="6"/>
      <c r="U714" s="28" t="str">
        <f>HYPERLINK("https://media.infra-m.ru/1933/1933140/cover/1933140.jpg", "Обложка")</f>
        <v>Обложка</v>
      </c>
      <c r="V714" s="28" t="str">
        <f>HYPERLINK("https://znanium.ru/catalog/product/1933140", "Ознакомиться")</f>
        <v>Ознакомиться</v>
      </c>
      <c r="W714" s="8" t="s">
        <v>4721</v>
      </c>
      <c r="X714" s="6"/>
      <c r="Y714" s="6" t="s">
        <v>30</v>
      </c>
      <c r="Z714" s="6"/>
      <c r="AA714" s="6" t="s">
        <v>221</v>
      </c>
    </row>
    <row r="715" spans="1:27" s="4" customFormat="1" ht="51.95" customHeight="1">
      <c r="A715" s="5">
        <v>0</v>
      </c>
      <c r="B715" s="6" t="s">
        <v>4722</v>
      </c>
      <c r="C715" s="7">
        <v>1444</v>
      </c>
      <c r="D715" s="8" t="s">
        <v>4723</v>
      </c>
      <c r="E715" s="8" t="s">
        <v>4717</v>
      </c>
      <c r="F715" s="8" t="s">
        <v>4724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307</v>
      </c>
      <c r="L715" s="9">
        <v>2024</v>
      </c>
      <c r="M715" s="8" t="s">
        <v>4725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4726</v>
      </c>
      <c r="S715" s="11" t="s">
        <v>4727</v>
      </c>
      <c r="T715" s="6"/>
      <c r="U715" s="28" t="str">
        <f>HYPERLINK("https://media.infra-m.ru/2150/2150739/cover/2150739.jpg", "Обложка")</f>
        <v>Обложка</v>
      </c>
      <c r="V715" s="28" t="str">
        <f>HYPERLINK("https://znanium.ru/catalog/product/1913196", "Ознакомиться")</f>
        <v>Ознакомиться</v>
      </c>
      <c r="W715" s="8" t="s">
        <v>3855</v>
      </c>
      <c r="X715" s="6"/>
      <c r="Y715" s="6"/>
      <c r="Z715" s="6"/>
      <c r="AA715" s="6" t="s">
        <v>213</v>
      </c>
    </row>
    <row r="716" spans="1:27" s="4" customFormat="1" ht="51.95" customHeight="1">
      <c r="A716" s="5">
        <v>0</v>
      </c>
      <c r="B716" s="6" t="s">
        <v>4728</v>
      </c>
      <c r="C716" s="7">
        <v>1010</v>
      </c>
      <c r="D716" s="8" t="s">
        <v>4729</v>
      </c>
      <c r="E716" s="8" t="s">
        <v>4717</v>
      </c>
      <c r="F716" s="8" t="s">
        <v>4730</v>
      </c>
      <c r="G716" s="6" t="s">
        <v>66</v>
      </c>
      <c r="H716" s="6" t="s">
        <v>38</v>
      </c>
      <c r="I716" s="8" t="s">
        <v>39</v>
      </c>
      <c r="J716" s="9">
        <v>1</v>
      </c>
      <c r="K716" s="9">
        <v>266</v>
      </c>
      <c r="L716" s="9">
        <v>2022</v>
      </c>
      <c r="M716" s="8" t="s">
        <v>4731</v>
      </c>
      <c r="N716" s="8" t="s">
        <v>68</v>
      </c>
      <c r="O716" s="8" t="s">
        <v>2754</v>
      </c>
      <c r="P716" s="6" t="s">
        <v>1157</v>
      </c>
      <c r="Q716" s="8" t="s">
        <v>44</v>
      </c>
      <c r="R716" s="10" t="s">
        <v>4732</v>
      </c>
      <c r="S716" s="11" t="s">
        <v>4733</v>
      </c>
      <c r="T716" s="6"/>
      <c r="U716" s="28" t="str">
        <f>HYPERLINK("https://media.infra-m.ru/1850/1850115/cover/1850115.jpg", "Обложка")</f>
        <v>Обложка</v>
      </c>
      <c r="V716" s="28" t="str">
        <f>HYPERLINK("https://znanium.ru/catalog/product/1850115", "Ознакомиться")</f>
        <v>Ознакомиться</v>
      </c>
      <c r="W716" s="8" t="s">
        <v>4000</v>
      </c>
      <c r="X716" s="6"/>
      <c r="Y716" s="6"/>
      <c r="Z716" s="6"/>
      <c r="AA716" s="6" t="s">
        <v>671</v>
      </c>
    </row>
    <row r="717" spans="1:27" s="4" customFormat="1" ht="51.95" customHeight="1">
      <c r="A717" s="5">
        <v>0</v>
      </c>
      <c r="B717" s="6" t="s">
        <v>4734</v>
      </c>
      <c r="C717" s="13">
        <v>690</v>
      </c>
      <c r="D717" s="8" t="s">
        <v>4735</v>
      </c>
      <c r="E717" s="8" t="s">
        <v>4717</v>
      </c>
      <c r="F717" s="8" t="s">
        <v>4736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147</v>
      </c>
      <c r="L717" s="9">
        <v>2023</v>
      </c>
      <c r="M717" s="8" t="s">
        <v>4737</v>
      </c>
      <c r="N717" s="8" t="s">
        <v>68</v>
      </c>
      <c r="O717" s="8" t="s">
        <v>2754</v>
      </c>
      <c r="P717" s="6" t="s">
        <v>43</v>
      </c>
      <c r="Q717" s="8" t="s">
        <v>44</v>
      </c>
      <c r="R717" s="10" t="s">
        <v>4738</v>
      </c>
      <c r="S717" s="11" t="s">
        <v>963</v>
      </c>
      <c r="T717" s="6"/>
      <c r="U717" s="28" t="str">
        <f>HYPERLINK("https://media.infra-m.ru/1926/1926340/cover/1926340.jpg", "Обложка")</f>
        <v>Обложка</v>
      </c>
      <c r="V717" s="28" t="str">
        <f>HYPERLINK("https://znanium.ru/catalog/product/1926340", "Ознакомиться")</f>
        <v>Ознакомиться</v>
      </c>
      <c r="W717" s="8" t="s">
        <v>2430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4739</v>
      </c>
      <c r="C718" s="7">
        <v>1330</v>
      </c>
      <c r="D718" s="8" t="s">
        <v>4740</v>
      </c>
      <c r="E718" s="8" t="s">
        <v>4741</v>
      </c>
      <c r="F718" s="8" t="s">
        <v>4742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288</v>
      </c>
      <c r="L718" s="9">
        <v>2024</v>
      </c>
      <c r="M718" s="8" t="s">
        <v>4743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4744</v>
      </c>
      <c r="S718" s="11" t="s">
        <v>4512</v>
      </c>
      <c r="T718" s="6"/>
      <c r="U718" s="28" t="str">
        <f>HYPERLINK("https://media.infra-m.ru/2084/2084133/cover/2084133.jpg", "Обложка")</f>
        <v>Обложка</v>
      </c>
      <c r="V718" s="28" t="str">
        <f>HYPERLINK("https://znanium.ru/catalog/product/2084133", "Ознакомиться")</f>
        <v>Ознакомиться</v>
      </c>
      <c r="W718" s="8" t="s">
        <v>73</v>
      </c>
      <c r="X718" s="6"/>
      <c r="Y718" s="6" t="s">
        <v>30</v>
      </c>
      <c r="Z718" s="6"/>
      <c r="AA718" s="6" t="s">
        <v>74</v>
      </c>
    </row>
    <row r="719" spans="1:27" s="4" customFormat="1" ht="51.95" customHeight="1">
      <c r="A719" s="5">
        <v>0</v>
      </c>
      <c r="B719" s="6" t="s">
        <v>4745</v>
      </c>
      <c r="C719" s="7">
        <v>1174</v>
      </c>
      <c r="D719" s="8" t="s">
        <v>4746</v>
      </c>
      <c r="E719" s="8" t="s">
        <v>4747</v>
      </c>
      <c r="F719" s="8" t="s">
        <v>4748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248</v>
      </c>
      <c r="L719" s="9">
        <v>2024</v>
      </c>
      <c r="M719" s="8" t="s">
        <v>4749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4750</v>
      </c>
      <c r="S719" s="11" t="s">
        <v>4751</v>
      </c>
      <c r="T719" s="6"/>
      <c r="U719" s="28" t="str">
        <f>HYPERLINK("https://media.infra-m.ru/2139/2139781/cover/2139781.jpg", "Обложка")</f>
        <v>Обложка</v>
      </c>
      <c r="V719" s="28" t="str">
        <f>HYPERLINK("https://znanium.ru/catalog/product/2090562", "Ознакомиться")</f>
        <v>Ознакомиться</v>
      </c>
      <c r="W719" s="8" t="s">
        <v>907</v>
      </c>
      <c r="X719" s="6"/>
      <c r="Y719" s="6"/>
      <c r="Z719" s="6"/>
      <c r="AA719" s="6" t="s">
        <v>475</v>
      </c>
    </row>
    <row r="720" spans="1:27" s="4" customFormat="1" ht="51.95" customHeight="1">
      <c r="A720" s="5">
        <v>0</v>
      </c>
      <c r="B720" s="6" t="s">
        <v>4752</v>
      </c>
      <c r="C720" s="7">
        <v>1324</v>
      </c>
      <c r="D720" s="8" t="s">
        <v>4753</v>
      </c>
      <c r="E720" s="8" t="s">
        <v>4754</v>
      </c>
      <c r="F720" s="8" t="s">
        <v>1735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269</v>
      </c>
      <c r="L720" s="9">
        <v>2024</v>
      </c>
      <c r="M720" s="8" t="s">
        <v>4755</v>
      </c>
      <c r="N720" s="8" t="s">
        <v>68</v>
      </c>
      <c r="O720" s="8" t="s">
        <v>699</v>
      </c>
      <c r="P720" s="6" t="s">
        <v>43</v>
      </c>
      <c r="Q720" s="8" t="s">
        <v>44</v>
      </c>
      <c r="R720" s="10" t="s">
        <v>4756</v>
      </c>
      <c r="S720" s="11" t="s">
        <v>4757</v>
      </c>
      <c r="T720" s="6"/>
      <c r="U720" s="28" t="str">
        <f>HYPERLINK("https://media.infra-m.ru/2147/2147907/cover/2147907.jpg", "Обложка")</f>
        <v>Обложка</v>
      </c>
      <c r="V720" s="28" t="str">
        <f>HYPERLINK("https://znanium.ru/catalog/product/2106268", "Ознакомиться")</f>
        <v>Ознакомиться</v>
      </c>
      <c r="W720" s="8" t="s">
        <v>1739</v>
      </c>
      <c r="X720" s="6"/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4758</v>
      </c>
      <c r="C721" s="7">
        <v>1510</v>
      </c>
      <c r="D721" s="8" t="s">
        <v>4759</v>
      </c>
      <c r="E721" s="8" t="s">
        <v>4760</v>
      </c>
      <c r="F721" s="8" t="s">
        <v>4692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328</v>
      </c>
      <c r="L721" s="9">
        <v>2023</v>
      </c>
      <c r="M721" s="8" t="s">
        <v>4761</v>
      </c>
      <c r="N721" s="8" t="s">
        <v>118</v>
      </c>
      <c r="O721" s="8" t="s">
        <v>119</v>
      </c>
      <c r="P721" s="6" t="s">
        <v>43</v>
      </c>
      <c r="Q721" s="8" t="s">
        <v>44</v>
      </c>
      <c r="R721" s="10" t="s">
        <v>2813</v>
      </c>
      <c r="S721" s="11" t="s">
        <v>4762</v>
      </c>
      <c r="T721" s="6"/>
      <c r="U721" s="28" t="str">
        <f>HYPERLINK("https://media.infra-m.ru/1072/1072197/cover/1072197.jpg", "Обложка")</f>
        <v>Обложка</v>
      </c>
      <c r="V721" s="28" t="str">
        <f>HYPERLINK("https://znanium.ru/catalog/product/1072197", "Ознакомиться")</f>
        <v>Ознакомиться</v>
      </c>
      <c r="W721" s="8" t="s">
        <v>163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1040</v>
      </c>
      <c r="D722" s="8" t="s">
        <v>4764</v>
      </c>
      <c r="E722" s="8" t="s">
        <v>4765</v>
      </c>
      <c r="F722" s="8" t="s">
        <v>401</v>
      </c>
      <c r="G722" s="6" t="s">
        <v>66</v>
      </c>
      <c r="H722" s="6" t="s">
        <v>55</v>
      </c>
      <c r="I722" s="8" t="s">
        <v>1004</v>
      </c>
      <c r="J722" s="9">
        <v>1</v>
      </c>
      <c r="K722" s="9">
        <v>229</v>
      </c>
      <c r="L722" s="9">
        <v>2023</v>
      </c>
      <c r="M722" s="8" t="s">
        <v>4766</v>
      </c>
      <c r="N722" s="8" t="s">
        <v>118</v>
      </c>
      <c r="O722" s="8" t="s">
        <v>403</v>
      </c>
      <c r="P722" s="6" t="s">
        <v>70</v>
      </c>
      <c r="Q722" s="8" t="s">
        <v>44</v>
      </c>
      <c r="R722" s="10" t="s">
        <v>4767</v>
      </c>
      <c r="S722" s="11"/>
      <c r="T722" s="6"/>
      <c r="U722" s="28" t="str">
        <f>HYPERLINK("https://media.infra-m.ru/2051/2051246/cover/2051246.jpg", "Обложка")</f>
        <v>Обложка</v>
      </c>
      <c r="V722" s="28" t="str">
        <f>HYPERLINK("https://znanium.ru/catalog/product/2051246", "Ознакомиться")</f>
        <v>Ознакомиться</v>
      </c>
      <c r="W722" s="8" t="s">
        <v>405</v>
      </c>
      <c r="X722" s="6"/>
      <c r="Y722" s="6"/>
      <c r="Z722" s="6"/>
      <c r="AA722" s="6" t="s">
        <v>534</v>
      </c>
    </row>
    <row r="723" spans="1:27" s="4" customFormat="1" ht="51.95" customHeight="1">
      <c r="A723" s="5">
        <v>0</v>
      </c>
      <c r="B723" s="6" t="s">
        <v>4768</v>
      </c>
      <c r="C723" s="7">
        <v>1330</v>
      </c>
      <c r="D723" s="8" t="s">
        <v>4769</v>
      </c>
      <c r="E723" s="8" t="s">
        <v>4770</v>
      </c>
      <c r="F723" s="8" t="s">
        <v>4771</v>
      </c>
      <c r="G723" s="6" t="s">
        <v>66</v>
      </c>
      <c r="H723" s="6" t="s">
        <v>283</v>
      </c>
      <c r="I723" s="8" t="s">
        <v>39</v>
      </c>
      <c r="J723" s="9">
        <v>1</v>
      </c>
      <c r="K723" s="9">
        <v>287</v>
      </c>
      <c r="L723" s="9">
        <v>2023</v>
      </c>
      <c r="M723" s="8" t="s">
        <v>4772</v>
      </c>
      <c r="N723" s="8" t="s">
        <v>118</v>
      </c>
      <c r="O723" s="8" t="s">
        <v>403</v>
      </c>
      <c r="P723" s="6" t="s">
        <v>43</v>
      </c>
      <c r="Q723" s="8" t="s">
        <v>44</v>
      </c>
      <c r="R723" s="10" t="s">
        <v>4773</v>
      </c>
      <c r="S723" s="11" t="s">
        <v>4774</v>
      </c>
      <c r="T723" s="6"/>
      <c r="U723" s="28" t="str">
        <f>HYPERLINK("https://media.infra-m.ru/2012/2012564/cover/2012564.jpg", "Обложка")</f>
        <v>Обложка</v>
      </c>
      <c r="V723" s="28" t="str">
        <f>HYPERLINK("https://znanium.ru/catalog/product/2012564", "Ознакомиться")</f>
        <v>Ознакомиться</v>
      </c>
      <c r="W723" s="8" t="s">
        <v>347</v>
      </c>
      <c r="X723" s="6"/>
      <c r="Y723" s="6"/>
      <c r="Z723" s="6"/>
      <c r="AA723" s="6" t="s">
        <v>4775</v>
      </c>
    </row>
    <row r="724" spans="1:27" s="4" customFormat="1" ht="51.95" customHeight="1">
      <c r="A724" s="5">
        <v>0</v>
      </c>
      <c r="B724" s="6" t="s">
        <v>4776</v>
      </c>
      <c r="C724" s="7">
        <v>1290</v>
      </c>
      <c r="D724" s="8" t="s">
        <v>4777</v>
      </c>
      <c r="E724" s="8" t="s">
        <v>4778</v>
      </c>
      <c r="F724" s="8" t="s">
        <v>4779</v>
      </c>
      <c r="G724" s="6" t="s">
        <v>54</v>
      </c>
      <c r="H724" s="6" t="s">
        <v>38</v>
      </c>
      <c r="I724" s="8" t="s">
        <v>56</v>
      </c>
      <c r="J724" s="9">
        <v>1</v>
      </c>
      <c r="K724" s="9">
        <v>269</v>
      </c>
      <c r="L724" s="9">
        <v>2023</v>
      </c>
      <c r="M724" s="8" t="s">
        <v>4780</v>
      </c>
      <c r="N724" s="8" t="s">
        <v>118</v>
      </c>
      <c r="O724" s="8" t="s">
        <v>403</v>
      </c>
      <c r="P724" s="6" t="s">
        <v>70</v>
      </c>
      <c r="Q724" s="8" t="s">
        <v>44</v>
      </c>
      <c r="R724" s="10" t="s">
        <v>677</v>
      </c>
      <c r="S724" s="11" t="s">
        <v>4781</v>
      </c>
      <c r="T724" s="6"/>
      <c r="U724" s="28" t="str">
        <f>HYPERLINK("https://media.infra-m.ru/1907/1907307/cover/1907307.jpg", "Обложка")</f>
        <v>Обложка</v>
      </c>
      <c r="V724" s="28" t="str">
        <f>HYPERLINK("https://znanium.ru/catalog/product/1907307", "Ознакомиться")</f>
        <v>Ознакомиться</v>
      </c>
      <c r="W724" s="8" t="s">
        <v>4782</v>
      </c>
      <c r="X724" s="6"/>
      <c r="Y724" s="6"/>
      <c r="Z724" s="6"/>
      <c r="AA724" s="6" t="s">
        <v>1957</v>
      </c>
    </row>
    <row r="725" spans="1:27" s="4" customFormat="1" ht="51.95" customHeight="1">
      <c r="A725" s="5">
        <v>0</v>
      </c>
      <c r="B725" s="6" t="s">
        <v>4783</v>
      </c>
      <c r="C725" s="7">
        <v>1200</v>
      </c>
      <c r="D725" s="8" t="s">
        <v>4784</v>
      </c>
      <c r="E725" s="8" t="s">
        <v>4785</v>
      </c>
      <c r="F725" s="8" t="s">
        <v>4786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256</v>
      </c>
      <c r="L725" s="9">
        <v>2024</v>
      </c>
      <c r="M725" s="8" t="s">
        <v>4787</v>
      </c>
      <c r="N725" s="8" t="s">
        <v>41</v>
      </c>
      <c r="O725" s="8" t="s">
        <v>178</v>
      </c>
      <c r="P725" s="6" t="s">
        <v>70</v>
      </c>
      <c r="Q725" s="8" t="s">
        <v>44</v>
      </c>
      <c r="R725" s="10" t="s">
        <v>219</v>
      </c>
      <c r="S725" s="11" t="s">
        <v>4788</v>
      </c>
      <c r="T725" s="6"/>
      <c r="U725" s="28" t="str">
        <f>HYPERLINK("https://media.infra-m.ru/2138/2138507/cover/2138507.jpg", "Обложка")</f>
        <v>Обложка</v>
      </c>
      <c r="V725" s="28" t="str">
        <f>HYPERLINK("https://znanium.ru/catalog/product/2138507", "Ознакомиться")</f>
        <v>Ознакомиться</v>
      </c>
      <c r="W725" s="8" t="s">
        <v>181</v>
      </c>
      <c r="X725" s="6"/>
      <c r="Y725" s="6"/>
      <c r="Z725" s="6"/>
      <c r="AA725" s="6" t="s">
        <v>1358</v>
      </c>
    </row>
    <row r="726" spans="1:27" s="4" customFormat="1" ht="42" customHeight="1">
      <c r="A726" s="5">
        <v>0</v>
      </c>
      <c r="B726" s="6" t="s">
        <v>4789</v>
      </c>
      <c r="C726" s="7">
        <v>1930</v>
      </c>
      <c r="D726" s="8" t="s">
        <v>4790</v>
      </c>
      <c r="E726" s="8" t="s">
        <v>4791</v>
      </c>
      <c r="F726" s="8" t="s">
        <v>4792</v>
      </c>
      <c r="G726" s="6" t="s">
        <v>37</v>
      </c>
      <c r="H726" s="6" t="s">
        <v>79</v>
      </c>
      <c r="I726" s="8" t="s">
        <v>39</v>
      </c>
      <c r="J726" s="9">
        <v>1</v>
      </c>
      <c r="K726" s="9">
        <v>410</v>
      </c>
      <c r="L726" s="9">
        <v>2024</v>
      </c>
      <c r="M726" s="8" t="s">
        <v>4793</v>
      </c>
      <c r="N726" s="8" t="s">
        <v>41</v>
      </c>
      <c r="O726" s="8" t="s">
        <v>160</v>
      </c>
      <c r="P726" s="6" t="s">
        <v>43</v>
      </c>
      <c r="Q726" s="8" t="s">
        <v>44</v>
      </c>
      <c r="R726" s="10" t="s">
        <v>2384</v>
      </c>
      <c r="S726" s="11"/>
      <c r="T726" s="6"/>
      <c r="U726" s="28" t="str">
        <f>HYPERLINK("https://media.infra-m.ru/2147/2147816/cover/2147816.jpg", "Обложка")</f>
        <v>Обложка</v>
      </c>
      <c r="V726" s="28" t="str">
        <f>HYPERLINK("https://znanium.ru/catalog/product/2147816", "Ознакомиться")</f>
        <v>Ознакомиться</v>
      </c>
      <c r="W726" s="8" t="s">
        <v>163</v>
      </c>
      <c r="X726" s="6" t="s">
        <v>542</v>
      </c>
      <c r="Y726" s="6"/>
      <c r="Z726" s="6" t="s">
        <v>687</v>
      </c>
      <c r="AA726" s="6" t="s">
        <v>339</v>
      </c>
    </row>
    <row r="727" spans="1:27" s="4" customFormat="1" ht="51.95" customHeight="1">
      <c r="A727" s="5">
        <v>0</v>
      </c>
      <c r="B727" s="6" t="s">
        <v>4794</v>
      </c>
      <c r="C727" s="7">
        <v>1360</v>
      </c>
      <c r="D727" s="8" t="s">
        <v>4795</v>
      </c>
      <c r="E727" s="8" t="s">
        <v>4796</v>
      </c>
      <c r="F727" s="8" t="s">
        <v>4797</v>
      </c>
      <c r="G727" s="6" t="s">
        <v>66</v>
      </c>
      <c r="H727" s="6" t="s">
        <v>716</v>
      </c>
      <c r="I727" s="8"/>
      <c r="J727" s="9">
        <v>1</v>
      </c>
      <c r="K727" s="9">
        <v>286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70</v>
      </c>
      <c r="Q727" s="8" t="s">
        <v>44</v>
      </c>
      <c r="R727" s="10" t="s">
        <v>4799</v>
      </c>
      <c r="S727" s="11"/>
      <c r="T727" s="6"/>
      <c r="U727" s="28" t="str">
        <f>HYPERLINK("https://media.infra-m.ru/2143/2143458/cover/2143458.jpg", "Обложка")</f>
        <v>Обложка</v>
      </c>
      <c r="V727" s="28" t="str">
        <f>HYPERLINK("https://znanium.ru/catalog/product/1959236", "Ознакомиться")</f>
        <v>Ознакомиться</v>
      </c>
      <c r="W727" s="8" t="s">
        <v>2077</v>
      </c>
      <c r="X727" s="6"/>
      <c r="Y727" s="6" t="s">
        <v>30</v>
      </c>
      <c r="Z727" s="6"/>
      <c r="AA727" s="6" t="s">
        <v>671</v>
      </c>
    </row>
    <row r="728" spans="1:27" s="4" customFormat="1" ht="51.95" customHeight="1">
      <c r="A728" s="5">
        <v>0</v>
      </c>
      <c r="B728" s="6" t="s">
        <v>4800</v>
      </c>
      <c r="C728" s="7">
        <v>1364.9</v>
      </c>
      <c r="D728" s="8" t="s">
        <v>4801</v>
      </c>
      <c r="E728" s="8" t="s">
        <v>4802</v>
      </c>
      <c r="F728" s="8" t="s">
        <v>4803</v>
      </c>
      <c r="G728" s="6" t="s">
        <v>37</v>
      </c>
      <c r="H728" s="6" t="s">
        <v>283</v>
      </c>
      <c r="I728" s="8" t="s">
        <v>56</v>
      </c>
      <c r="J728" s="9">
        <v>1</v>
      </c>
      <c r="K728" s="9">
        <v>304</v>
      </c>
      <c r="L728" s="9">
        <v>2023</v>
      </c>
      <c r="M728" s="8" t="s">
        <v>4804</v>
      </c>
      <c r="N728" s="8" t="s">
        <v>68</v>
      </c>
      <c r="O728" s="8" t="s">
        <v>2754</v>
      </c>
      <c r="P728" s="6" t="s">
        <v>70</v>
      </c>
      <c r="Q728" s="8" t="s">
        <v>44</v>
      </c>
      <c r="R728" s="10" t="s">
        <v>4805</v>
      </c>
      <c r="S728" s="11" t="s">
        <v>854</v>
      </c>
      <c r="T728" s="6"/>
      <c r="U728" s="28" t="str">
        <f>HYPERLINK("https://media.infra-m.ru/1900/1900720/cover/1900720.jpg", "Обложка")</f>
        <v>Обложка</v>
      </c>
      <c r="V728" s="28" t="str">
        <f>HYPERLINK("https://znanium.ru/catalog/product/1818640", "Ознакомиться")</f>
        <v>Ознакомиться</v>
      </c>
      <c r="W728" s="8" t="s">
        <v>4721</v>
      </c>
      <c r="X728" s="6"/>
      <c r="Y728" s="6"/>
      <c r="Z728" s="6"/>
      <c r="AA728" s="6" t="s">
        <v>221</v>
      </c>
    </row>
    <row r="729" spans="1:27" s="4" customFormat="1" ht="51.95" customHeight="1">
      <c r="A729" s="5">
        <v>0</v>
      </c>
      <c r="B729" s="6" t="s">
        <v>4806</v>
      </c>
      <c r="C729" s="13">
        <v>930</v>
      </c>
      <c r="D729" s="8" t="s">
        <v>4807</v>
      </c>
      <c r="E729" s="8" t="s">
        <v>4808</v>
      </c>
      <c r="F729" s="8" t="s">
        <v>318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202</v>
      </c>
      <c r="L729" s="9">
        <v>2024</v>
      </c>
      <c r="M729" s="8" t="s">
        <v>4809</v>
      </c>
      <c r="N729" s="8" t="s">
        <v>41</v>
      </c>
      <c r="O729" s="8" t="s">
        <v>303</v>
      </c>
      <c r="P729" s="6" t="s">
        <v>43</v>
      </c>
      <c r="Q729" s="8" t="s">
        <v>44</v>
      </c>
      <c r="R729" s="10" t="s">
        <v>1827</v>
      </c>
      <c r="S729" s="11" t="s">
        <v>305</v>
      </c>
      <c r="T729" s="6"/>
      <c r="U729" s="28" t="str">
        <f>HYPERLINK("https://media.infra-m.ru/2086/2086795/cover/2086795.jpg", "Обложка")</f>
        <v>Обложка</v>
      </c>
      <c r="V729" s="28" t="str">
        <f>HYPERLINK("https://znanium.ru/catalog/product/2086795", "Ознакомиться")</f>
        <v>Ознакомиться</v>
      </c>
      <c r="W729" s="8" t="s">
        <v>277</v>
      </c>
      <c r="X729" s="6"/>
      <c r="Y729" s="6"/>
      <c r="Z729" s="6" t="s">
        <v>48</v>
      </c>
      <c r="AA729" s="6" t="s">
        <v>94</v>
      </c>
    </row>
    <row r="730" spans="1:27" s="4" customFormat="1" ht="51.95" customHeight="1">
      <c r="A730" s="5">
        <v>0</v>
      </c>
      <c r="B730" s="6" t="s">
        <v>4810</v>
      </c>
      <c r="C730" s="13">
        <v>824</v>
      </c>
      <c r="D730" s="8" t="s">
        <v>4811</v>
      </c>
      <c r="E730" s="8" t="s">
        <v>4812</v>
      </c>
      <c r="F730" s="8" t="s">
        <v>4813</v>
      </c>
      <c r="G730" s="6" t="s">
        <v>66</v>
      </c>
      <c r="H730" s="6" t="s">
        <v>283</v>
      </c>
      <c r="I730" s="8" t="s">
        <v>39</v>
      </c>
      <c r="J730" s="9">
        <v>1</v>
      </c>
      <c r="K730" s="9">
        <v>160</v>
      </c>
      <c r="L730" s="9">
        <v>2024</v>
      </c>
      <c r="M730" s="8" t="s">
        <v>4814</v>
      </c>
      <c r="N730" s="8" t="s">
        <v>41</v>
      </c>
      <c r="O730" s="8" t="s">
        <v>160</v>
      </c>
      <c r="P730" s="6" t="s">
        <v>43</v>
      </c>
      <c r="Q730" s="8" t="s">
        <v>44</v>
      </c>
      <c r="R730" s="10" t="s">
        <v>4815</v>
      </c>
      <c r="S730" s="11" t="s">
        <v>4816</v>
      </c>
      <c r="T730" s="6"/>
      <c r="U730" s="28" t="str">
        <f>HYPERLINK("https://media.infra-m.ru/2133/2133934/cover/2133934.jpg", "Обложка")</f>
        <v>Обложка</v>
      </c>
      <c r="V730" s="28" t="str">
        <f>HYPERLINK("https://znanium.ru/catalog/product/2086834", "Ознакомиться")</f>
        <v>Ознакомиться</v>
      </c>
      <c r="W730" s="8" t="s">
        <v>163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4817</v>
      </c>
      <c r="C731" s="13">
        <v>650</v>
      </c>
      <c r="D731" s="8" t="s">
        <v>4818</v>
      </c>
      <c r="E731" s="8" t="s">
        <v>4819</v>
      </c>
      <c r="F731" s="8" t="s">
        <v>4820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167</v>
      </c>
      <c r="L731" s="9">
        <v>2022</v>
      </c>
      <c r="M731" s="8" t="s">
        <v>4821</v>
      </c>
      <c r="N731" s="8" t="s">
        <v>118</v>
      </c>
      <c r="O731" s="8" t="s">
        <v>403</v>
      </c>
      <c r="P731" s="6" t="s">
        <v>43</v>
      </c>
      <c r="Q731" s="8" t="s">
        <v>44</v>
      </c>
      <c r="R731" s="10" t="s">
        <v>4822</v>
      </c>
      <c r="S731" s="11" t="s">
        <v>4823</v>
      </c>
      <c r="T731" s="6"/>
      <c r="U731" s="28" t="str">
        <f>HYPERLINK("https://media.infra-m.ru/1864/1864109/cover/1864109.jpg", "Обложка")</f>
        <v>Обложка</v>
      </c>
      <c r="V731" s="28" t="str">
        <f>HYPERLINK("https://znanium.ru/catalog/product/1864109", "Ознакомиться")</f>
        <v>Ознакомиться</v>
      </c>
      <c r="W731" s="8" t="s">
        <v>1084</v>
      </c>
      <c r="X731" s="6"/>
      <c r="Y731" s="6"/>
      <c r="Z731" s="6"/>
      <c r="AA731" s="6" t="s">
        <v>893</v>
      </c>
    </row>
    <row r="732" spans="1:27" s="4" customFormat="1" ht="51.95" customHeight="1">
      <c r="A732" s="5">
        <v>0</v>
      </c>
      <c r="B732" s="6" t="s">
        <v>4824</v>
      </c>
      <c r="C732" s="13">
        <v>960</v>
      </c>
      <c r="D732" s="8" t="s">
        <v>4825</v>
      </c>
      <c r="E732" s="8" t="s">
        <v>4826</v>
      </c>
      <c r="F732" s="8" t="s">
        <v>1812</v>
      </c>
      <c r="G732" s="6" t="s">
        <v>37</v>
      </c>
      <c r="H732" s="6" t="s">
        <v>79</v>
      </c>
      <c r="I732" s="8" t="s">
        <v>39</v>
      </c>
      <c r="J732" s="9">
        <v>1</v>
      </c>
      <c r="K732" s="9">
        <v>198</v>
      </c>
      <c r="L732" s="9">
        <v>2023</v>
      </c>
      <c r="M732" s="8" t="s">
        <v>4827</v>
      </c>
      <c r="N732" s="8" t="s">
        <v>118</v>
      </c>
      <c r="O732" s="8" t="s">
        <v>336</v>
      </c>
      <c r="P732" s="6" t="s">
        <v>43</v>
      </c>
      <c r="Q732" s="8" t="s">
        <v>44</v>
      </c>
      <c r="R732" s="10" t="s">
        <v>1486</v>
      </c>
      <c r="S732" s="11" t="s">
        <v>4828</v>
      </c>
      <c r="T732" s="6"/>
      <c r="U732" s="28" t="str">
        <f>HYPERLINK("https://media.infra-m.ru/1866/1866814/cover/1866814.jpg", "Обложка")</f>
        <v>Обложка</v>
      </c>
      <c r="V732" s="28" t="str">
        <f>HYPERLINK("https://znanium.ru/catalog/product/1866814", "Ознакомиться")</f>
        <v>Ознакомиться</v>
      </c>
      <c r="W732" s="8" t="s">
        <v>1815</v>
      </c>
      <c r="X732" s="6"/>
      <c r="Y732" s="6"/>
      <c r="Z732" s="6"/>
      <c r="AA732" s="6" t="s">
        <v>85</v>
      </c>
    </row>
    <row r="733" spans="1:27" s="4" customFormat="1" ht="51.95" customHeight="1">
      <c r="A733" s="5">
        <v>0</v>
      </c>
      <c r="B733" s="6" t="s">
        <v>4829</v>
      </c>
      <c r="C733" s="7">
        <v>2490</v>
      </c>
      <c r="D733" s="8" t="s">
        <v>4830</v>
      </c>
      <c r="E733" s="8" t="s">
        <v>4831</v>
      </c>
      <c r="F733" s="8" t="s">
        <v>4832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639</v>
      </c>
      <c r="L733" s="9">
        <v>2023</v>
      </c>
      <c r="M733" s="8" t="s">
        <v>4833</v>
      </c>
      <c r="N733" s="8" t="s">
        <v>118</v>
      </c>
      <c r="O733" s="8" t="s">
        <v>2212</v>
      </c>
      <c r="P733" s="6" t="s">
        <v>70</v>
      </c>
      <c r="Q733" s="8" t="s">
        <v>44</v>
      </c>
      <c r="R733" s="10" t="s">
        <v>4834</v>
      </c>
      <c r="S733" s="11" t="s">
        <v>4835</v>
      </c>
      <c r="T733" s="6"/>
      <c r="U733" s="28" t="str">
        <f>HYPERLINK("https://media.infra-m.ru/1922/1922314/cover/1922314.jpg", "Обложка")</f>
        <v>Обложка</v>
      </c>
      <c r="V733" s="28" t="str">
        <f>HYPERLINK("https://znanium.ru/catalog/product/1922314", "Ознакомиться")</f>
        <v>Ознакомиться</v>
      </c>
      <c r="W733" s="8" t="s">
        <v>1408</v>
      </c>
      <c r="X733" s="6"/>
      <c r="Y733" s="6" t="s">
        <v>30</v>
      </c>
      <c r="Z733" s="6" t="s">
        <v>48</v>
      </c>
      <c r="AA733" s="6" t="s">
        <v>122</v>
      </c>
    </row>
    <row r="734" spans="1:27" s="4" customFormat="1" ht="51.95" customHeight="1">
      <c r="A734" s="5">
        <v>0</v>
      </c>
      <c r="B734" s="6" t="s">
        <v>4836</v>
      </c>
      <c r="C734" s="7">
        <v>2260</v>
      </c>
      <c r="D734" s="8" t="s">
        <v>4837</v>
      </c>
      <c r="E734" s="8" t="s">
        <v>4838</v>
      </c>
      <c r="F734" s="8" t="s">
        <v>4839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480</v>
      </c>
      <c r="L734" s="9">
        <v>2024</v>
      </c>
      <c r="M734" s="8" t="s">
        <v>4840</v>
      </c>
      <c r="N734" s="8" t="s">
        <v>41</v>
      </c>
      <c r="O734" s="8" t="s">
        <v>178</v>
      </c>
      <c r="P734" s="6" t="s">
        <v>70</v>
      </c>
      <c r="Q734" s="8" t="s">
        <v>44</v>
      </c>
      <c r="R734" s="10" t="s">
        <v>4841</v>
      </c>
      <c r="S734" s="11" t="s">
        <v>236</v>
      </c>
      <c r="T734" s="6"/>
      <c r="U734" s="28" t="str">
        <f>HYPERLINK("https://media.infra-m.ru/2143/2143708/cover/2143708.jpg", "Обложка")</f>
        <v>Обложка</v>
      </c>
      <c r="V734" s="28" t="str">
        <f>HYPERLINK("https://znanium.ru/catalog/product/2143708", "Ознакомиться")</f>
        <v>Ознакомиться</v>
      </c>
      <c r="W734" s="8" t="s">
        <v>4842</v>
      </c>
      <c r="X734" s="6"/>
      <c r="Y734" s="6" t="s">
        <v>30</v>
      </c>
      <c r="Z734" s="6"/>
      <c r="AA734" s="6" t="s">
        <v>1358</v>
      </c>
    </row>
    <row r="735" spans="1:27" s="4" customFormat="1" ht="51.95" customHeight="1">
      <c r="A735" s="5">
        <v>0</v>
      </c>
      <c r="B735" s="6" t="s">
        <v>4843</v>
      </c>
      <c r="C735" s="7">
        <v>1124</v>
      </c>
      <c r="D735" s="8" t="s">
        <v>4844</v>
      </c>
      <c r="E735" s="8" t="s">
        <v>4845</v>
      </c>
      <c r="F735" s="8" t="s">
        <v>911</v>
      </c>
      <c r="G735" s="6" t="s">
        <v>37</v>
      </c>
      <c r="H735" s="6" t="s">
        <v>116</v>
      </c>
      <c r="I735" s="8" t="s">
        <v>39</v>
      </c>
      <c r="J735" s="9">
        <v>1</v>
      </c>
      <c r="K735" s="9">
        <v>251</v>
      </c>
      <c r="L735" s="9">
        <v>2023</v>
      </c>
      <c r="M735" s="8" t="s">
        <v>4846</v>
      </c>
      <c r="N735" s="8" t="s">
        <v>118</v>
      </c>
      <c r="O735" s="8" t="s">
        <v>336</v>
      </c>
      <c r="P735" s="6" t="s">
        <v>43</v>
      </c>
      <c r="Q735" s="8" t="s">
        <v>44</v>
      </c>
      <c r="R735" s="10" t="s">
        <v>2565</v>
      </c>
      <c r="S735" s="11" t="s">
        <v>4847</v>
      </c>
      <c r="T735" s="6"/>
      <c r="U735" s="28" t="str">
        <f>HYPERLINK("https://media.infra-m.ru/1976/1976146/cover/1976146.jpg", "Обложка")</f>
        <v>Обложка</v>
      </c>
      <c r="V735" s="28" t="str">
        <f>HYPERLINK("https://znanium.ru/catalog/product/1017710", "Ознакомиться")</f>
        <v>Ознакомиться</v>
      </c>
      <c r="W735" s="8" t="s">
        <v>93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4848</v>
      </c>
      <c r="C736" s="7">
        <v>1120</v>
      </c>
      <c r="D736" s="8" t="s">
        <v>4849</v>
      </c>
      <c r="E736" s="8" t="s">
        <v>4850</v>
      </c>
      <c r="F736" s="8" t="s">
        <v>4851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248</v>
      </c>
      <c r="L736" s="9">
        <v>2023</v>
      </c>
      <c r="M736" s="8" t="s">
        <v>4852</v>
      </c>
      <c r="N736" s="8" t="s">
        <v>504</v>
      </c>
      <c r="O736" s="8" t="s">
        <v>948</v>
      </c>
      <c r="P736" s="6" t="s">
        <v>43</v>
      </c>
      <c r="Q736" s="8" t="s">
        <v>44</v>
      </c>
      <c r="R736" s="10" t="s">
        <v>4853</v>
      </c>
      <c r="S736" s="11" t="s">
        <v>4854</v>
      </c>
      <c r="T736" s="6"/>
      <c r="U736" s="28" t="str">
        <f>HYPERLINK("https://media.infra-m.ru/1900/1900925/cover/1900925.jpg", "Обложка")</f>
        <v>Обложка</v>
      </c>
      <c r="V736" s="28" t="str">
        <f>HYPERLINK("https://znanium.ru/catalog/product/1900925", "Ознакомиться")</f>
        <v>Ознакомиться</v>
      </c>
      <c r="W736" s="8" t="s">
        <v>2238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4855</v>
      </c>
      <c r="C737" s="7">
        <v>1510</v>
      </c>
      <c r="D737" s="8" t="s">
        <v>4856</v>
      </c>
      <c r="E737" s="8" t="s">
        <v>4857</v>
      </c>
      <c r="F737" s="8" t="s">
        <v>4858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328</v>
      </c>
      <c r="L737" s="9">
        <v>2024</v>
      </c>
      <c r="M737" s="8" t="s">
        <v>4859</v>
      </c>
      <c r="N737" s="8" t="s">
        <v>41</v>
      </c>
      <c r="O737" s="8" t="s">
        <v>514</v>
      </c>
      <c r="P737" s="6" t="s">
        <v>70</v>
      </c>
      <c r="Q737" s="8" t="s">
        <v>44</v>
      </c>
      <c r="R737" s="10" t="s">
        <v>4860</v>
      </c>
      <c r="S737" s="11" t="s">
        <v>4861</v>
      </c>
      <c r="T737" s="6" t="s">
        <v>110</v>
      </c>
      <c r="U737" s="28" t="str">
        <f>HYPERLINK("https://media.infra-m.ru/2130/2130984/cover/2130984.jpg", "Обложка")</f>
        <v>Обложка</v>
      </c>
      <c r="V737" s="28" t="str">
        <f>HYPERLINK("https://znanium.ru/catalog/product/2130984", "Ознакомиться")</f>
        <v>Ознакомиться</v>
      </c>
      <c r="W737" s="8" t="s">
        <v>4862</v>
      </c>
      <c r="X737" s="6"/>
      <c r="Y737" s="6"/>
      <c r="Z737" s="6"/>
      <c r="AA737" s="6" t="s">
        <v>671</v>
      </c>
    </row>
    <row r="738" spans="1:27" s="4" customFormat="1" ht="51.95" customHeight="1">
      <c r="A738" s="5">
        <v>0</v>
      </c>
      <c r="B738" s="6" t="s">
        <v>4863</v>
      </c>
      <c r="C738" s="13">
        <v>790</v>
      </c>
      <c r="D738" s="8" t="s">
        <v>4864</v>
      </c>
      <c r="E738" s="8" t="s">
        <v>4865</v>
      </c>
      <c r="F738" s="8" t="s">
        <v>4866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169</v>
      </c>
      <c r="L738" s="9">
        <v>2023</v>
      </c>
      <c r="M738" s="8" t="s">
        <v>4867</v>
      </c>
      <c r="N738" s="8" t="s">
        <v>118</v>
      </c>
      <c r="O738" s="8" t="s">
        <v>336</v>
      </c>
      <c r="P738" s="6" t="s">
        <v>43</v>
      </c>
      <c r="Q738" s="8" t="s">
        <v>44</v>
      </c>
      <c r="R738" s="10" t="s">
        <v>4868</v>
      </c>
      <c r="S738" s="11" t="s">
        <v>4869</v>
      </c>
      <c r="T738" s="6"/>
      <c r="U738" s="28" t="str">
        <f>HYPERLINK("https://media.infra-m.ru/2051/2051244/cover/2051244.jpg", "Обложка")</f>
        <v>Обложка</v>
      </c>
      <c r="V738" s="28" t="str">
        <f>HYPERLINK("https://znanium.ru/catalog/product/1817478", "Ознакомиться")</f>
        <v>Ознакомиться</v>
      </c>
      <c r="W738" s="8" t="s">
        <v>4870</v>
      </c>
      <c r="X738" s="6"/>
      <c r="Y738" s="6"/>
      <c r="Z738" s="6"/>
      <c r="AA738" s="6" t="s">
        <v>348</v>
      </c>
    </row>
    <row r="739" spans="1:27" s="4" customFormat="1" ht="51.95" customHeight="1">
      <c r="A739" s="5">
        <v>0</v>
      </c>
      <c r="B739" s="6" t="s">
        <v>4871</v>
      </c>
      <c r="C739" s="13">
        <v>574</v>
      </c>
      <c r="D739" s="8" t="s">
        <v>4872</v>
      </c>
      <c r="E739" s="8" t="s">
        <v>4873</v>
      </c>
      <c r="F739" s="8" t="s">
        <v>4866</v>
      </c>
      <c r="G739" s="6" t="s">
        <v>54</v>
      </c>
      <c r="H739" s="6" t="s">
        <v>283</v>
      </c>
      <c r="I739" s="8" t="s">
        <v>39</v>
      </c>
      <c r="J739" s="9">
        <v>1</v>
      </c>
      <c r="K739" s="9">
        <v>125</v>
      </c>
      <c r="L739" s="9">
        <v>2023</v>
      </c>
      <c r="M739" s="8" t="s">
        <v>4874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4868</v>
      </c>
      <c r="S739" s="11" t="s">
        <v>4869</v>
      </c>
      <c r="T739" s="6"/>
      <c r="U739" s="28" t="str">
        <f>HYPERLINK("https://media.infra-m.ru/2124/2124785/cover/2124785.jpg",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4870</v>
      </c>
      <c r="X739" s="6"/>
      <c r="Y739" s="6"/>
      <c r="Z739" s="6"/>
      <c r="AA739" s="6" t="s">
        <v>587</v>
      </c>
    </row>
    <row r="740" spans="1:27" s="4" customFormat="1" ht="42" customHeight="1">
      <c r="A740" s="5">
        <v>0</v>
      </c>
      <c r="B740" s="6" t="s">
        <v>4875</v>
      </c>
      <c r="C740" s="13">
        <v>650</v>
      </c>
      <c r="D740" s="8" t="s">
        <v>4876</v>
      </c>
      <c r="E740" s="8" t="s">
        <v>4877</v>
      </c>
      <c r="F740" s="8" t="s">
        <v>4878</v>
      </c>
      <c r="G740" s="6" t="s">
        <v>37</v>
      </c>
      <c r="H740" s="6" t="s">
        <v>79</v>
      </c>
      <c r="I740" s="8" t="s">
        <v>39</v>
      </c>
      <c r="J740" s="9">
        <v>1</v>
      </c>
      <c r="K740" s="9">
        <v>129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4880</v>
      </c>
      <c r="S740" s="11"/>
      <c r="T740" s="6"/>
      <c r="U740" s="28" t="str">
        <f>HYPERLINK("https://media.infra-m.ru/1860/1860506/cover/1860506.jpg", "Обложка")</f>
        <v>Обложка</v>
      </c>
      <c r="V740" s="28" t="str">
        <f>HYPERLINK("https://znanium.ru/catalog/product/1860506", "Ознакомиться")</f>
        <v>Ознакомиться</v>
      </c>
      <c r="W740" s="8" t="s">
        <v>1731</v>
      </c>
      <c r="X740" s="6" t="s">
        <v>4881</v>
      </c>
      <c r="Y740" s="6"/>
      <c r="Z740" s="6"/>
      <c r="AA740" s="6" t="s">
        <v>85</v>
      </c>
    </row>
    <row r="741" spans="1:27" s="4" customFormat="1" ht="51.95" customHeight="1">
      <c r="A741" s="5">
        <v>0</v>
      </c>
      <c r="B741" s="6" t="s">
        <v>4882</v>
      </c>
      <c r="C741" s="7">
        <v>1080</v>
      </c>
      <c r="D741" s="8" t="s">
        <v>4883</v>
      </c>
      <c r="E741" s="8" t="s">
        <v>4884</v>
      </c>
      <c r="F741" s="8" t="s">
        <v>4885</v>
      </c>
      <c r="G741" s="6" t="s">
        <v>66</v>
      </c>
      <c r="H741" s="6" t="s">
        <v>283</v>
      </c>
      <c r="I741" s="8" t="s">
        <v>39</v>
      </c>
      <c r="J741" s="9">
        <v>1</v>
      </c>
      <c r="K741" s="9">
        <v>240</v>
      </c>
      <c r="L741" s="9">
        <v>2023</v>
      </c>
      <c r="M741" s="8" t="s">
        <v>4886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1655</v>
      </c>
      <c r="S741" s="11" t="s">
        <v>4887</v>
      </c>
      <c r="T741" s="6"/>
      <c r="U741" s="28" t="str">
        <f>HYPERLINK("https://media.infra-m.ru/1921/1921420/cover/1921420.jpg", "Обложка")</f>
        <v>Обложка</v>
      </c>
      <c r="V741" s="28" t="str">
        <f>HYPERLINK("https://znanium.ru/catalog/product/1921420", "Ознакомиться")</f>
        <v>Ознакомиться</v>
      </c>
      <c r="W741" s="8" t="s">
        <v>287</v>
      </c>
      <c r="X741" s="6"/>
      <c r="Y741" s="6"/>
      <c r="Z741" s="6"/>
      <c r="AA741" s="6" t="s">
        <v>288</v>
      </c>
    </row>
    <row r="742" spans="1:27" s="4" customFormat="1" ht="51.95" customHeight="1">
      <c r="A742" s="5">
        <v>0</v>
      </c>
      <c r="B742" s="6" t="s">
        <v>4888</v>
      </c>
      <c r="C742" s="7">
        <v>2070</v>
      </c>
      <c r="D742" s="8" t="s">
        <v>4889</v>
      </c>
      <c r="E742" s="8" t="s">
        <v>4890</v>
      </c>
      <c r="F742" s="8" t="s">
        <v>4194</v>
      </c>
      <c r="G742" s="6" t="s">
        <v>37</v>
      </c>
      <c r="H742" s="6" t="s">
        <v>79</v>
      </c>
      <c r="I742" s="8" t="s">
        <v>529</v>
      </c>
      <c r="J742" s="9">
        <v>1</v>
      </c>
      <c r="K742" s="9">
        <v>451</v>
      </c>
      <c r="L742" s="9">
        <v>2023</v>
      </c>
      <c r="M742" s="8" t="s">
        <v>4891</v>
      </c>
      <c r="N742" s="8" t="s">
        <v>118</v>
      </c>
      <c r="O742" s="8" t="s">
        <v>403</v>
      </c>
      <c r="P742" s="6" t="s">
        <v>43</v>
      </c>
      <c r="Q742" s="8" t="s">
        <v>44</v>
      </c>
      <c r="R742" s="10" t="s">
        <v>4892</v>
      </c>
      <c r="S742" s="11" t="s">
        <v>4893</v>
      </c>
      <c r="T742" s="6"/>
      <c r="U742" s="28" t="str">
        <f>HYPERLINK("https://media.infra-m.ru/1908/1908971/cover/1908971.jpg", "Обложка")</f>
        <v>Обложка</v>
      </c>
      <c r="V742" s="28" t="str">
        <f>HYPERLINK("https://znanium.ru/catalog/product/1908971", "Ознакомиться")</f>
        <v>Ознакомиться</v>
      </c>
      <c r="W742" s="8" t="s">
        <v>4198</v>
      </c>
      <c r="X742" s="6" t="s">
        <v>84</v>
      </c>
      <c r="Y742" s="6"/>
      <c r="Z742" s="6"/>
      <c r="AA742" s="6" t="s">
        <v>348</v>
      </c>
    </row>
    <row r="743" spans="1:27" s="4" customFormat="1" ht="51.95" customHeight="1">
      <c r="A743" s="5">
        <v>0</v>
      </c>
      <c r="B743" s="6" t="s">
        <v>4894</v>
      </c>
      <c r="C743" s="7">
        <v>1000</v>
      </c>
      <c r="D743" s="8" t="s">
        <v>4895</v>
      </c>
      <c r="E743" s="8" t="s">
        <v>4896</v>
      </c>
      <c r="F743" s="8" t="s">
        <v>4897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212</v>
      </c>
      <c r="L743" s="9">
        <v>2024</v>
      </c>
      <c r="M743" s="8" t="s">
        <v>4898</v>
      </c>
      <c r="N743" s="8" t="s">
        <v>118</v>
      </c>
      <c r="O743" s="8" t="s">
        <v>336</v>
      </c>
      <c r="P743" s="6" t="s">
        <v>70</v>
      </c>
      <c r="Q743" s="8" t="s">
        <v>44</v>
      </c>
      <c r="R743" s="10" t="s">
        <v>4899</v>
      </c>
      <c r="S743" s="11" t="s">
        <v>4900</v>
      </c>
      <c r="T743" s="6"/>
      <c r="U743" s="28" t="str">
        <f>HYPERLINK("https://media.infra-m.ru/2139/2139314/cover/2139314.jpg", "Обложка")</f>
        <v>Обложка</v>
      </c>
      <c r="V743" s="28" t="str">
        <f>HYPERLINK("https://znanium.ru/catalog/product/2139314", "Ознакомиться")</f>
        <v>Ознакомиться</v>
      </c>
      <c r="W743" s="8" t="s">
        <v>172</v>
      </c>
      <c r="X743" s="6"/>
      <c r="Y743" s="6" t="s">
        <v>30</v>
      </c>
      <c r="Z743" s="6"/>
      <c r="AA743" s="6" t="s">
        <v>459</v>
      </c>
    </row>
    <row r="744" spans="1:27" s="4" customFormat="1" ht="51.95" customHeight="1">
      <c r="A744" s="5">
        <v>0</v>
      </c>
      <c r="B744" s="6" t="s">
        <v>4901</v>
      </c>
      <c r="C744" s="7">
        <v>1020</v>
      </c>
      <c r="D744" s="8" t="s">
        <v>4902</v>
      </c>
      <c r="E744" s="8" t="s">
        <v>4903</v>
      </c>
      <c r="F744" s="8" t="s">
        <v>4897</v>
      </c>
      <c r="G744" s="6" t="s">
        <v>66</v>
      </c>
      <c r="H744" s="6" t="s">
        <v>38</v>
      </c>
      <c r="I744" s="8" t="s">
        <v>39</v>
      </c>
      <c r="J744" s="9">
        <v>1</v>
      </c>
      <c r="K744" s="9">
        <v>298</v>
      </c>
      <c r="L744" s="9">
        <v>2020</v>
      </c>
      <c r="M744" s="8" t="s">
        <v>4904</v>
      </c>
      <c r="N744" s="8" t="s">
        <v>118</v>
      </c>
      <c r="O744" s="8" t="s">
        <v>336</v>
      </c>
      <c r="P744" s="6" t="s">
        <v>43</v>
      </c>
      <c r="Q744" s="8" t="s">
        <v>44</v>
      </c>
      <c r="R744" s="10" t="s">
        <v>4899</v>
      </c>
      <c r="S744" s="11" t="s">
        <v>4905</v>
      </c>
      <c r="T744" s="6"/>
      <c r="U744" s="28" t="str">
        <f>HYPERLINK("https://media.infra-m.ru/1096/1096998/cover/1096998.jpg",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1379</v>
      </c>
    </row>
    <row r="745" spans="1:27" s="4" customFormat="1" ht="51.95" customHeight="1">
      <c r="A745" s="5">
        <v>0</v>
      </c>
      <c r="B745" s="6" t="s">
        <v>4906</v>
      </c>
      <c r="C745" s="7">
        <v>1210</v>
      </c>
      <c r="D745" s="8" t="s">
        <v>4907</v>
      </c>
      <c r="E745" s="8" t="s">
        <v>4908</v>
      </c>
      <c r="F745" s="8" t="s">
        <v>4909</v>
      </c>
      <c r="G745" s="6" t="s">
        <v>66</v>
      </c>
      <c r="H745" s="6" t="s">
        <v>79</v>
      </c>
      <c r="I745" s="8" t="s">
        <v>39</v>
      </c>
      <c r="J745" s="9">
        <v>1</v>
      </c>
      <c r="K745" s="9">
        <v>268</v>
      </c>
      <c r="L745" s="9">
        <v>2023</v>
      </c>
      <c r="M745" s="8" t="s">
        <v>4910</v>
      </c>
      <c r="N745" s="8" t="s">
        <v>41</v>
      </c>
      <c r="O745" s="8" t="s">
        <v>178</v>
      </c>
      <c r="P745" s="6" t="s">
        <v>70</v>
      </c>
      <c r="Q745" s="8" t="s">
        <v>44</v>
      </c>
      <c r="R745" s="10" t="s">
        <v>4911</v>
      </c>
      <c r="S745" s="11" t="s">
        <v>3641</v>
      </c>
      <c r="T745" s="6"/>
      <c r="U745" s="28" t="str">
        <f>HYPERLINK("https://media.infra-m.ru/1895/1895090/cover/1895090.jpg", "Обложка")</f>
        <v>Обложка</v>
      </c>
      <c r="V745" s="28" t="str">
        <f>HYPERLINK("https://znanium.ru/catalog/product/1895090", "Ознакомиться")</f>
        <v>Ознакомиться</v>
      </c>
      <c r="W745" s="8" t="s">
        <v>181</v>
      </c>
      <c r="X745" s="6"/>
      <c r="Y745" s="6"/>
      <c r="Z745" s="6"/>
      <c r="AA745" s="6" t="s">
        <v>1358</v>
      </c>
    </row>
    <row r="746" spans="1:27" s="4" customFormat="1" ht="51.95" customHeight="1">
      <c r="A746" s="5">
        <v>0</v>
      </c>
      <c r="B746" s="6" t="s">
        <v>4912</v>
      </c>
      <c r="C746" s="7">
        <v>1504.9</v>
      </c>
      <c r="D746" s="8" t="s">
        <v>4913</v>
      </c>
      <c r="E746" s="8" t="s">
        <v>4914</v>
      </c>
      <c r="F746" s="8" t="s">
        <v>2009</v>
      </c>
      <c r="G746" s="6" t="s">
        <v>37</v>
      </c>
      <c r="H746" s="6" t="s">
        <v>79</v>
      </c>
      <c r="I746" s="8" t="s">
        <v>39</v>
      </c>
      <c r="J746" s="9">
        <v>1</v>
      </c>
      <c r="K746" s="9">
        <v>334</v>
      </c>
      <c r="L746" s="9">
        <v>2023</v>
      </c>
      <c r="M746" s="8" t="s">
        <v>4915</v>
      </c>
      <c r="N746" s="8" t="s">
        <v>41</v>
      </c>
      <c r="O746" s="8" t="s">
        <v>42</v>
      </c>
      <c r="P746" s="6" t="s">
        <v>43</v>
      </c>
      <c r="Q746" s="8" t="s">
        <v>44</v>
      </c>
      <c r="R746" s="10" t="s">
        <v>725</v>
      </c>
      <c r="S746" s="11" t="s">
        <v>4916</v>
      </c>
      <c r="T746" s="6"/>
      <c r="U746" s="28" t="str">
        <f>HYPERLINK("https://media.infra-m.ru/2004/2004378/cover/2004378.jpg", "Обложка")</f>
        <v>Обложка</v>
      </c>
      <c r="V746" s="28" t="str">
        <f>HYPERLINK("https://znanium.ru/catalog/product/989598", "Ознакомиться")</f>
        <v>Ознакомиться</v>
      </c>
      <c r="W746" s="8" t="s">
        <v>2013</v>
      </c>
      <c r="X746" s="6"/>
      <c r="Y746" s="6"/>
      <c r="Z746" s="6"/>
      <c r="AA746" s="6" t="s">
        <v>213</v>
      </c>
    </row>
    <row r="747" spans="1:27" s="4" customFormat="1" ht="51.95" customHeight="1">
      <c r="A747" s="5">
        <v>0</v>
      </c>
      <c r="B747" s="6" t="s">
        <v>4917</v>
      </c>
      <c r="C747" s="7">
        <v>2150</v>
      </c>
      <c r="D747" s="8" t="s">
        <v>4918</v>
      </c>
      <c r="E747" s="8" t="s">
        <v>4919</v>
      </c>
      <c r="F747" s="8" t="s">
        <v>4920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467</v>
      </c>
      <c r="L747" s="9">
        <v>2024</v>
      </c>
      <c r="M747" s="8" t="s">
        <v>4921</v>
      </c>
      <c r="N747" s="8" t="s">
        <v>41</v>
      </c>
      <c r="O747" s="8" t="s">
        <v>303</v>
      </c>
      <c r="P747" s="6" t="s">
        <v>70</v>
      </c>
      <c r="Q747" s="8" t="s">
        <v>44</v>
      </c>
      <c r="R747" s="10" t="s">
        <v>531</v>
      </c>
      <c r="S747" s="11" t="s">
        <v>1210</v>
      </c>
      <c r="T747" s="6" t="s">
        <v>110</v>
      </c>
      <c r="U747" s="28" t="str">
        <f>HYPERLINK("https://media.infra-m.ru/2058/2058789/cover/2058789.jpg", "Обложка")</f>
        <v>Обложка</v>
      </c>
      <c r="V747" s="28" t="str">
        <f>HYPERLINK("https://znanium.ru/catalog/product/2058789", "Ознакомиться")</f>
        <v>Ознакомиться</v>
      </c>
      <c r="W747" s="8" t="s">
        <v>533</v>
      </c>
      <c r="X747" s="6"/>
      <c r="Y747" s="6"/>
      <c r="Z747" s="6" t="s">
        <v>48</v>
      </c>
      <c r="AA747" s="6" t="s">
        <v>94</v>
      </c>
    </row>
    <row r="748" spans="1:27" s="4" customFormat="1" ht="51.95" customHeight="1">
      <c r="A748" s="5">
        <v>0</v>
      </c>
      <c r="B748" s="6" t="s">
        <v>4922</v>
      </c>
      <c r="C748" s="7">
        <v>1210</v>
      </c>
      <c r="D748" s="8" t="s">
        <v>4923</v>
      </c>
      <c r="E748" s="8" t="s">
        <v>4924</v>
      </c>
      <c r="F748" s="8" t="s">
        <v>4925</v>
      </c>
      <c r="G748" s="6" t="s">
        <v>66</v>
      </c>
      <c r="H748" s="6" t="s">
        <v>79</v>
      </c>
      <c r="I748" s="8" t="s">
        <v>39</v>
      </c>
      <c r="J748" s="9">
        <v>1</v>
      </c>
      <c r="K748" s="9">
        <v>258</v>
      </c>
      <c r="L748" s="9">
        <v>2024</v>
      </c>
      <c r="M748" s="8" t="s">
        <v>4926</v>
      </c>
      <c r="N748" s="8" t="s">
        <v>1171</v>
      </c>
      <c r="O748" s="8" t="s">
        <v>1172</v>
      </c>
      <c r="P748" s="6" t="s">
        <v>43</v>
      </c>
      <c r="Q748" s="8" t="s">
        <v>44</v>
      </c>
      <c r="R748" s="10" t="s">
        <v>4927</v>
      </c>
      <c r="S748" s="11" t="s">
        <v>4438</v>
      </c>
      <c r="T748" s="6"/>
      <c r="U748" s="28" t="str">
        <f>HYPERLINK("https://media.infra-m.ru/2096/2096330/cover/2096330.jpg", "Обложка")</f>
        <v>Обложка</v>
      </c>
      <c r="V748" s="28" t="str">
        <f>HYPERLINK("https://znanium.ru/catalog/product/2096330", "Ознакомиться")</f>
        <v>Ознакомиться</v>
      </c>
      <c r="W748" s="8" t="s">
        <v>1387</v>
      </c>
      <c r="X748" s="6"/>
      <c r="Y748" s="6"/>
      <c r="Z748" s="6" t="s">
        <v>48</v>
      </c>
      <c r="AA748" s="6" t="s">
        <v>656</v>
      </c>
    </row>
    <row r="749" spans="1:27" s="4" customFormat="1" ht="51.95" customHeight="1">
      <c r="A749" s="5">
        <v>0</v>
      </c>
      <c r="B749" s="6" t="s">
        <v>4928</v>
      </c>
      <c r="C749" s="7">
        <v>1014</v>
      </c>
      <c r="D749" s="8" t="s">
        <v>4929</v>
      </c>
      <c r="E749" s="8" t="s">
        <v>4930</v>
      </c>
      <c r="F749" s="8" t="s">
        <v>4931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216</v>
      </c>
      <c r="L749" s="9">
        <v>2024</v>
      </c>
      <c r="M749" s="8" t="s">
        <v>4932</v>
      </c>
      <c r="N749" s="8" t="s">
        <v>1171</v>
      </c>
      <c r="O749" s="8" t="s">
        <v>1172</v>
      </c>
      <c r="P749" s="6" t="s">
        <v>70</v>
      </c>
      <c r="Q749" s="8" t="s">
        <v>44</v>
      </c>
      <c r="R749" s="10" t="s">
        <v>4933</v>
      </c>
      <c r="S749" s="11" t="s">
        <v>1984</v>
      </c>
      <c r="T749" s="6"/>
      <c r="U749" s="28" t="str">
        <f>HYPERLINK("https://media.infra-m.ru/1934/1934011/cover/1934011.jpg", "Обложка")</f>
        <v>Обложка</v>
      </c>
      <c r="V749" s="28" t="str">
        <f>HYPERLINK("https://znanium.ru/catalog/product/1851428",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94</v>
      </c>
    </row>
    <row r="750" spans="1:27" s="4" customFormat="1" ht="51.95" customHeight="1">
      <c r="A750" s="5">
        <v>0</v>
      </c>
      <c r="B750" s="6" t="s">
        <v>4934</v>
      </c>
      <c r="C750" s="13">
        <v>750</v>
      </c>
      <c r="D750" s="8" t="s">
        <v>4935</v>
      </c>
      <c r="E750" s="8" t="s">
        <v>4936</v>
      </c>
      <c r="F750" s="8" t="s">
        <v>4937</v>
      </c>
      <c r="G750" s="6" t="s">
        <v>66</v>
      </c>
      <c r="H750" s="6" t="s">
        <v>116</v>
      </c>
      <c r="I750" s="8" t="s">
        <v>39</v>
      </c>
      <c r="J750" s="9">
        <v>1</v>
      </c>
      <c r="K750" s="9">
        <v>160</v>
      </c>
      <c r="L750" s="9">
        <v>2024</v>
      </c>
      <c r="M750" s="8" t="s">
        <v>4938</v>
      </c>
      <c r="N750" s="8" t="s">
        <v>68</v>
      </c>
      <c r="O750" s="8" t="s">
        <v>327</v>
      </c>
      <c r="P750" s="6" t="s">
        <v>43</v>
      </c>
      <c r="Q750" s="8" t="s">
        <v>44</v>
      </c>
      <c r="R750" s="10" t="s">
        <v>4939</v>
      </c>
      <c r="S750" s="11" t="s">
        <v>4940</v>
      </c>
      <c r="T750" s="6"/>
      <c r="U750" s="28" t="str">
        <f>HYPERLINK("https://media.infra-m.ru/2149/2149687/cover/2149687.jpg", "Обложка")</f>
        <v>Обложка</v>
      </c>
      <c r="V750" s="28" t="str">
        <f>HYPERLINK("https://znanium.ru/catalog/product/2149687", "Ознакомиться")</f>
        <v>Ознакомиться</v>
      </c>
      <c r="W750" s="8" t="s">
        <v>1274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4941</v>
      </c>
      <c r="C751" s="7">
        <v>1544</v>
      </c>
      <c r="D751" s="8" t="s">
        <v>4942</v>
      </c>
      <c r="E751" s="8" t="s">
        <v>4943</v>
      </c>
      <c r="F751" s="8" t="s">
        <v>4944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335</v>
      </c>
      <c r="L751" s="9">
        <v>2024</v>
      </c>
      <c r="M751" s="8" t="s">
        <v>4945</v>
      </c>
      <c r="N751" s="8" t="s">
        <v>1171</v>
      </c>
      <c r="O751" s="8" t="s">
        <v>1172</v>
      </c>
      <c r="P751" s="6" t="s">
        <v>70</v>
      </c>
      <c r="Q751" s="8" t="s">
        <v>44</v>
      </c>
      <c r="R751" s="10" t="s">
        <v>4946</v>
      </c>
      <c r="S751" s="11" t="s">
        <v>4947</v>
      </c>
      <c r="T751" s="6"/>
      <c r="U751" s="28" t="str">
        <f>HYPERLINK("https://media.infra-m.ru/2100/2100009/cover/2100009.jpg", "Обложка")</f>
        <v>Обложка</v>
      </c>
      <c r="V751" s="28" t="str">
        <f>HYPERLINK("https://znanium.ru/catalog/product/2100008", "Ознакомиться")</f>
        <v>Ознакомиться</v>
      </c>
      <c r="W751" s="8" t="s">
        <v>1387</v>
      </c>
      <c r="X751" s="6"/>
      <c r="Y751" s="6"/>
      <c r="Z751" s="6" t="s">
        <v>48</v>
      </c>
      <c r="AA751" s="6" t="s">
        <v>122</v>
      </c>
    </row>
    <row r="752" spans="1:27" s="4" customFormat="1" ht="51.95" customHeight="1">
      <c r="A752" s="5">
        <v>0</v>
      </c>
      <c r="B752" s="6" t="s">
        <v>4948</v>
      </c>
      <c r="C752" s="7">
        <v>1540</v>
      </c>
      <c r="D752" s="8" t="s">
        <v>4949</v>
      </c>
      <c r="E752" s="8" t="s">
        <v>4950</v>
      </c>
      <c r="F752" s="8" t="s">
        <v>4951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421</v>
      </c>
      <c r="L752" s="9">
        <v>2021</v>
      </c>
      <c r="M752" s="8" t="s">
        <v>4952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3877</v>
      </c>
      <c r="S752" s="11" t="s">
        <v>4953</v>
      </c>
      <c r="T752" s="6"/>
      <c r="U752" s="28" t="str">
        <f>HYPERLINK("https://media.infra-m.ru/1243/1243115/cover/1243115.jpg", "Обложка")</f>
        <v>Обложка</v>
      </c>
      <c r="V752" s="28" t="str">
        <f>HYPERLINK("https://znanium.ru/catalog/product/1243115", "Ознакомиться")</f>
        <v>Ознакомиться</v>
      </c>
      <c r="W752" s="8" t="s">
        <v>4954</v>
      </c>
      <c r="X752" s="6"/>
      <c r="Y752" s="6"/>
      <c r="Z752" s="6" t="s">
        <v>687</v>
      </c>
      <c r="AA752" s="6" t="s">
        <v>213</v>
      </c>
    </row>
    <row r="753" spans="1:27" s="4" customFormat="1" ht="51.95" customHeight="1">
      <c r="A753" s="5">
        <v>0</v>
      </c>
      <c r="B753" s="6" t="s">
        <v>4955</v>
      </c>
      <c r="C753" s="7">
        <v>1400</v>
      </c>
      <c r="D753" s="8" t="s">
        <v>4956</v>
      </c>
      <c r="E753" s="8" t="s">
        <v>4950</v>
      </c>
      <c r="F753" s="8" t="s">
        <v>4957</v>
      </c>
      <c r="G753" s="6" t="s">
        <v>66</v>
      </c>
      <c r="H753" s="6" t="s">
        <v>55</v>
      </c>
      <c r="I753" s="8" t="s">
        <v>56</v>
      </c>
      <c r="J753" s="9">
        <v>1</v>
      </c>
      <c r="K753" s="9">
        <v>303</v>
      </c>
      <c r="L753" s="9">
        <v>2023</v>
      </c>
      <c r="M753" s="8" t="s">
        <v>4958</v>
      </c>
      <c r="N753" s="8" t="s">
        <v>1171</v>
      </c>
      <c r="O753" s="8" t="s">
        <v>1172</v>
      </c>
      <c r="P753" s="6" t="s">
        <v>43</v>
      </c>
      <c r="Q753" s="8" t="s">
        <v>44</v>
      </c>
      <c r="R753" s="10" t="s">
        <v>4437</v>
      </c>
      <c r="S753" s="11"/>
      <c r="T753" s="6"/>
      <c r="U753" s="28" t="str">
        <f>HYPERLINK("https://media.infra-m.ru/1960/1960119/cover/1960119.jpg", "Обложка")</f>
        <v>Обложка</v>
      </c>
      <c r="V753" s="28" t="str">
        <f>HYPERLINK("https://znanium.ru/catalog/product/1960119", "Ознакомиться")</f>
        <v>Ознакомиться</v>
      </c>
      <c r="W753" s="8" t="s">
        <v>3347</v>
      </c>
      <c r="X753" s="6"/>
      <c r="Y753" s="6"/>
      <c r="Z753" s="6" t="s">
        <v>48</v>
      </c>
      <c r="AA753" s="6" t="s">
        <v>656</v>
      </c>
    </row>
    <row r="754" spans="1:27" s="4" customFormat="1" ht="42" customHeight="1">
      <c r="A754" s="5">
        <v>0</v>
      </c>
      <c r="B754" s="6" t="s">
        <v>4959</v>
      </c>
      <c r="C754" s="7">
        <v>1270</v>
      </c>
      <c r="D754" s="8" t="s">
        <v>4960</v>
      </c>
      <c r="E754" s="8" t="s">
        <v>4961</v>
      </c>
      <c r="F754" s="8" t="s">
        <v>4962</v>
      </c>
      <c r="G754" s="6" t="s">
        <v>37</v>
      </c>
      <c r="H754" s="6" t="s">
        <v>79</v>
      </c>
      <c r="I754" s="8" t="s">
        <v>39</v>
      </c>
      <c r="J754" s="9">
        <v>1</v>
      </c>
      <c r="K754" s="9">
        <v>261</v>
      </c>
      <c r="L754" s="9">
        <v>2024</v>
      </c>
      <c r="M754" s="8" t="s">
        <v>4963</v>
      </c>
      <c r="N754" s="8" t="s">
        <v>1171</v>
      </c>
      <c r="O754" s="8" t="s">
        <v>1172</v>
      </c>
      <c r="P754" s="6" t="s">
        <v>1157</v>
      </c>
      <c r="Q754" s="8" t="s">
        <v>44</v>
      </c>
      <c r="R754" s="10" t="s">
        <v>4964</v>
      </c>
      <c r="S754" s="11"/>
      <c r="T754" s="6"/>
      <c r="U754" s="28" t="str">
        <f>HYPERLINK("https://media.infra-m.ru/1865/1865677/cover/1865677.jpg", "Обложка")</f>
        <v>Обложка</v>
      </c>
      <c r="V754" s="28" t="str">
        <f>HYPERLINK("https://znanium.ru/catalog/product/1865677", "Ознакомиться")</f>
        <v>Ознакомиться</v>
      </c>
      <c r="W754" s="8" t="s">
        <v>4965</v>
      </c>
      <c r="X754" s="6" t="s">
        <v>622</v>
      </c>
      <c r="Y754" s="6"/>
      <c r="Z754" s="6"/>
      <c r="AA754" s="6" t="s">
        <v>339</v>
      </c>
    </row>
    <row r="755" spans="1:27" s="4" customFormat="1" ht="51.95" customHeight="1">
      <c r="A755" s="5">
        <v>0</v>
      </c>
      <c r="B755" s="6" t="s">
        <v>4966</v>
      </c>
      <c r="C755" s="7">
        <v>1700</v>
      </c>
      <c r="D755" s="8" t="s">
        <v>4967</v>
      </c>
      <c r="E755" s="8" t="s">
        <v>4968</v>
      </c>
      <c r="F755" s="8" t="s">
        <v>2724</v>
      </c>
      <c r="G755" s="6" t="s">
        <v>66</v>
      </c>
      <c r="H755" s="6" t="s">
        <v>38</v>
      </c>
      <c r="I755" s="8" t="s">
        <v>56</v>
      </c>
      <c r="J755" s="9">
        <v>1</v>
      </c>
      <c r="K755" s="9">
        <v>288</v>
      </c>
      <c r="L755" s="9">
        <v>2023</v>
      </c>
      <c r="M755" s="8" t="s">
        <v>4969</v>
      </c>
      <c r="N755" s="8" t="s">
        <v>41</v>
      </c>
      <c r="O755" s="8" t="s">
        <v>514</v>
      </c>
      <c r="P755" s="6" t="s">
        <v>43</v>
      </c>
      <c r="Q755" s="8" t="s">
        <v>44</v>
      </c>
      <c r="R755" s="10" t="s">
        <v>4970</v>
      </c>
      <c r="S755" s="11" t="s">
        <v>2726</v>
      </c>
      <c r="T755" s="6"/>
      <c r="U755" s="28" t="str">
        <f>HYPERLINK("https://media.infra-m.ru/1999/1999791/cover/1999791.jpg", "Обложка")</f>
        <v>Обложка</v>
      </c>
      <c r="V755" s="28" t="str">
        <f>HYPERLINK("https://znanium.ru/catalog/product/1999791", "Ознакомиться")</f>
        <v>Ознакомиться</v>
      </c>
      <c r="W755" s="8" t="s">
        <v>2727</v>
      </c>
      <c r="X755" s="6"/>
      <c r="Y755" s="6"/>
      <c r="Z755" s="6"/>
      <c r="AA755" s="6" t="s">
        <v>587</v>
      </c>
    </row>
    <row r="756" spans="1:27" s="4" customFormat="1" ht="51.95" customHeight="1">
      <c r="A756" s="5">
        <v>0</v>
      </c>
      <c r="B756" s="6" t="s">
        <v>4971</v>
      </c>
      <c r="C756" s="7">
        <v>1590</v>
      </c>
      <c r="D756" s="8" t="s">
        <v>4972</v>
      </c>
      <c r="E756" s="8" t="s">
        <v>4973</v>
      </c>
      <c r="F756" s="8" t="s">
        <v>4974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345</v>
      </c>
      <c r="L756" s="9">
        <v>2024</v>
      </c>
      <c r="M756" s="8" t="s">
        <v>4975</v>
      </c>
      <c r="N756" s="8" t="s">
        <v>118</v>
      </c>
      <c r="O756" s="8" t="s">
        <v>403</v>
      </c>
      <c r="P756" s="6" t="s">
        <v>70</v>
      </c>
      <c r="Q756" s="8" t="s">
        <v>44</v>
      </c>
      <c r="R756" s="10" t="s">
        <v>768</v>
      </c>
      <c r="S756" s="11" t="s">
        <v>4976</v>
      </c>
      <c r="T756" s="6"/>
      <c r="U756" s="28" t="str">
        <f>HYPERLINK("https://media.infra-m.ru/2078/2078394/cover/2078394.jpg", "Обложка")</f>
        <v>Обложка</v>
      </c>
      <c r="V756" s="28" t="str">
        <f>HYPERLINK("https://znanium.ru/catalog/product/2078394", "Ознакомиться")</f>
        <v>Ознакомиться</v>
      </c>
      <c r="W756" s="8" t="s">
        <v>1945</v>
      </c>
      <c r="X756" s="6"/>
      <c r="Y756" s="6"/>
      <c r="Z756" s="6" t="s">
        <v>48</v>
      </c>
      <c r="AA756" s="6" t="s">
        <v>475</v>
      </c>
    </row>
    <row r="757" spans="1:27" s="4" customFormat="1" ht="51.95" customHeight="1">
      <c r="A757" s="5">
        <v>0</v>
      </c>
      <c r="B757" s="6" t="s">
        <v>4977</v>
      </c>
      <c r="C757" s="7">
        <v>1984</v>
      </c>
      <c r="D757" s="8" t="s">
        <v>4978</v>
      </c>
      <c r="E757" s="8" t="s">
        <v>4979</v>
      </c>
      <c r="F757" s="8" t="s">
        <v>2049</v>
      </c>
      <c r="G757" s="6" t="s">
        <v>37</v>
      </c>
      <c r="H757" s="6" t="s">
        <v>38</v>
      </c>
      <c r="I757" s="8" t="s">
        <v>56</v>
      </c>
      <c r="J757" s="9">
        <v>1</v>
      </c>
      <c r="K757" s="9">
        <v>432</v>
      </c>
      <c r="L757" s="9">
        <v>2023</v>
      </c>
      <c r="M757" s="8" t="s">
        <v>4980</v>
      </c>
      <c r="N757" s="8" t="s">
        <v>41</v>
      </c>
      <c r="O757" s="8" t="s">
        <v>42</v>
      </c>
      <c r="P757" s="6" t="s">
        <v>43</v>
      </c>
      <c r="Q757" s="8" t="s">
        <v>44</v>
      </c>
      <c r="R757" s="10" t="s">
        <v>2051</v>
      </c>
      <c r="S757" s="11" t="s">
        <v>993</v>
      </c>
      <c r="T757" s="6"/>
      <c r="U757" s="28" t="str">
        <f>HYPERLINK("https://media.infra-m.ru/1926/1926303/cover/1926303.jpg", "Обложка")</f>
        <v>Обложка</v>
      </c>
      <c r="V757" s="28" t="str">
        <f>HYPERLINK("https://znanium.ru/catalog/product/1778076", "Ознакомиться")</f>
        <v>Ознакомиться</v>
      </c>
      <c r="W757" s="8" t="s">
        <v>73</v>
      </c>
      <c r="X757" s="6"/>
      <c r="Y757" s="6"/>
      <c r="Z757" s="6"/>
      <c r="AA757" s="6" t="s">
        <v>1350</v>
      </c>
    </row>
    <row r="758" spans="1:27" s="4" customFormat="1" ht="51.95" customHeight="1">
      <c r="A758" s="5">
        <v>0</v>
      </c>
      <c r="B758" s="6" t="s">
        <v>4981</v>
      </c>
      <c r="C758" s="13">
        <v>594.9</v>
      </c>
      <c r="D758" s="8" t="s">
        <v>4982</v>
      </c>
      <c r="E758" s="8" t="s">
        <v>4983</v>
      </c>
      <c r="F758" s="8" t="s">
        <v>4984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224</v>
      </c>
      <c r="L758" s="9">
        <v>2018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4986</v>
      </c>
      <c r="S758" s="11"/>
      <c r="T758" s="6"/>
      <c r="U758" s="28" t="str">
        <f>HYPERLINK("https://media.infra-m.ru/0954/0954397/cover/954397.jpg", "Обложка")</f>
        <v>Обложка</v>
      </c>
      <c r="V758" s="12"/>
      <c r="W758" s="8" t="s">
        <v>163</v>
      </c>
      <c r="X758" s="6"/>
      <c r="Y758" s="6"/>
      <c r="Z758" s="6"/>
      <c r="AA758" s="6" t="s">
        <v>164</v>
      </c>
    </row>
    <row r="759" spans="1:27" s="4" customFormat="1" ht="51.95" customHeight="1">
      <c r="A759" s="5">
        <v>0</v>
      </c>
      <c r="B759" s="6" t="s">
        <v>4987</v>
      </c>
      <c r="C759" s="13">
        <v>734</v>
      </c>
      <c r="D759" s="8" t="s">
        <v>4988</v>
      </c>
      <c r="E759" s="8" t="s">
        <v>4989</v>
      </c>
      <c r="F759" s="8" t="s">
        <v>4990</v>
      </c>
      <c r="G759" s="6" t="s">
        <v>54</v>
      </c>
      <c r="H759" s="6" t="s">
        <v>38</v>
      </c>
      <c r="I759" s="8" t="s">
        <v>39</v>
      </c>
      <c r="J759" s="9">
        <v>1</v>
      </c>
      <c r="K759" s="9">
        <v>112</v>
      </c>
      <c r="L759" s="9">
        <v>2024</v>
      </c>
      <c r="M759" s="8" t="s">
        <v>4991</v>
      </c>
      <c r="N759" s="8" t="s">
        <v>68</v>
      </c>
      <c r="O759" s="8" t="s">
        <v>699</v>
      </c>
      <c r="P759" s="6" t="s">
        <v>43</v>
      </c>
      <c r="Q759" s="8" t="s">
        <v>44</v>
      </c>
      <c r="R759" s="10" t="s">
        <v>4992</v>
      </c>
      <c r="S759" s="11" t="s">
        <v>4993</v>
      </c>
      <c r="T759" s="6"/>
      <c r="U759" s="28" t="str">
        <f>HYPERLINK("https://media.infra-m.ru/2139/2139098/cover/2139098.jpg", "Обложка")</f>
        <v>Обложка</v>
      </c>
      <c r="V759" s="28" t="str">
        <f>HYPERLINK("https://znanium.ru/catalog/product/1873277", "Ознакомиться")</f>
        <v>Ознакомиться</v>
      </c>
      <c r="W759" s="8" t="s">
        <v>4994</v>
      </c>
      <c r="X759" s="6"/>
      <c r="Y759" s="6"/>
      <c r="Z759" s="6"/>
      <c r="AA759" s="6" t="s">
        <v>414</v>
      </c>
    </row>
    <row r="760" spans="1:27" s="4" customFormat="1" ht="51.95" customHeight="1">
      <c r="A760" s="5">
        <v>0</v>
      </c>
      <c r="B760" s="6" t="s">
        <v>4995</v>
      </c>
      <c r="C760" s="13">
        <v>500</v>
      </c>
      <c r="D760" s="8" t="s">
        <v>4996</v>
      </c>
      <c r="E760" s="8" t="s">
        <v>4997</v>
      </c>
      <c r="F760" s="8" t="s">
        <v>4990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2018</v>
      </c>
      <c r="M760" s="8" t="s">
        <v>4998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4992</v>
      </c>
      <c r="S760" s="11" t="s">
        <v>4999</v>
      </c>
      <c r="T760" s="6"/>
      <c r="U760" s="28" t="str">
        <f>HYPERLINK("https://media.infra-m.ru/0958/0958278/cover/958278.jpg",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4994</v>
      </c>
      <c r="X760" s="6"/>
      <c r="Y760" s="6"/>
      <c r="Z760" s="6"/>
      <c r="AA760" s="6" t="s">
        <v>245</v>
      </c>
    </row>
    <row r="761" spans="1:27" s="4" customFormat="1" ht="42" customHeight="1">
      <c r="A761" s="5">
        <v>0</v>
      </c>
      <c r="B761" s="6" t="s">
        <v>5000</v>
      </c>
      <c r="C761" s="13">
        <v>460</v>
      </c>
      <c r="D761" s="8" t="s">
        <v>5001</v>
      </c>
      <c r="E761" s="8" t="s">
        <v>5002</v>
      </c>
      <c r="F761" s="8" t="s">
        <v>5003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72</v>
      </c>
      <c r="L761" s="9">
        <v>2024</v>
      </c>
      <c r="M761" s="8" t="s">
        <v>5004</v>
      </c>
      <c r="N761" s="8" t="s">
        <v>68</v>
      </c>
      <c r="O761" s="8" t="s">
        <v>69</v>
      </c>
      <c r="P761" s="6" t="s">
        <v>43</v>
      </c>
      <c r="Q761" s="8" t="s">
        <v>44</v>
      </c>
      <c r="R761" s="10" t="s">
        <v>5005</v>
      </c>
      <c r="S761" s="11"/>
      <c r="T761" s="6"/>
      <c r="U761" s="28" t="str">
        <f>HYPERLINK("https://media.infra-m.ru/1920/1920367/cover/1920367.jpg", "Обложка")</f>
        <v>Обложка</v>
      </c>
      <c r="V761" s="28" t="str">
        <f>HYPERLINK("https://znanium.ru/catalog/product/1920367", "Ознакомиться")</f>
        <v>Ознакомиться</v>
      </c>
      <c r="W761" s="8" t="s">
        <v>4537</v>
      </c>
      <c r="X761" s="6" t="s">
        <v>4881</v>
      </c>
      <c r="Y761" s="6"/>
      <c r="Z761" s="6" t="s">
        <v>687</v>
      </c>
      <c r="AA761" s="6" t="s">
        <v>339</v>
      </c>
    </row>
    <row r="762" spans="1:27" s="4" customFormat="1" ht="51.95" customHeight="1">
      <c r="A762" s="5">
        <v>0</v>
      </c>
      <c r="B762" s="6" t="s">
        <v>5006</v>
      </c>
      <c r="C762" s="13">
        <v>770</v>
      </c>
      <c r="D762" s="8" t="s">
        <v>5007</v>
      </c>
      <c r="E762" s="8" t="s">
        <v>5008</v>
      </c>
      <c r="F762" s="8" t="s">
        <v>5009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163</v>
      </c>
      <c r="L762" s="9">
        <v>2024</v>
      </c>
      <c r="M762" s="8" t="s">
        <v>5010</v>
      </c>
      <c r="N762" s="8" t="s">
        <v>41</v>
      </c>
      <c r="O762" s="8" t="s">
        <v>160</v>
      </c>
      <c r="P762" s="6" t="s">
        <v>43</v>
      </c>
      <c r="Q762" s="8" t="s">
        <v>44</v>
      </c>
      <c r="R762" s="10" t="s">
        <v>5011</v>
      </c>
      <c r="S762" s="11" t="s">
        <v>5012</v>
      </c>
      <c r="T762" s="6"/>
      <c r="U762" s="28" t="str">
        <f>HYPERLINK("https://media.infra-m.ru/2139/2139002/cover/2139002.jpg", "Обложка")</f>
        <v>Обложка</v>
      </c>
      <c r="V762" s="28" t="str">
        <f>HYPERLINK("https://znanium.ru/catalog/product/2139002", "Ознакомиться")</f>
        <v>Ознакомиться</v>
      </c>
      <c r="W762" s="8" t="s">
        <v>1453</v>
      </c>
      <c r="X762" s="6"/>
      <c r="Y762" s="6"/>
      <c r="Z762" s="6" t="s">
        <v>48</v>
      </c>
      <c r="AA762" s="6" t="s">
        <v>213</v>
      </c>
    </row>
    <row r="763" spans="1:27" s="4" customFormat="1" ht="51.95" customHeight="1">
      <c r="A763" s="5">
        <v>0</v>
      </c>
      <c r="B763" s="6" t="s">
        <v>5013</v>
      </c>
      <c r="C763" s="7">
        <v>1450</v>
      </c>
      <c r="D763" s="8" t="s">
        <v>5014</v>
      </c>
      <c r="E763" s="8" t="s">
        <v>5015</v>
      </c>
      <c r="F763" s="8" t="s">
        <v>5016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318</v>
      </c>
      <c r="L763" s="9">
        <v>2023</v>
      </c>
      <c r="M763" s="8" t="s">
        <v>5017</v>
      </c>
      <c r="N763" s="8" t="s">
        <v>41</v>
      </c>
      <c r="O763" s="8" t="s">
        <v>160</v>
      </c>
      <c r="P763" s="6" t="s">
        <v>70</v>
      </c>
      <c r="Q763" s="8" t="s">
        <v>44</v>
      </c>
      <c r="R763" s="10" t="s">
        <v>5018</v>
      </c>
      <c r="S763" s="11" t="s">
        <v>5019</v>
      </c>
      <c r="T763" s="6" t="s">
        <v>110</v>
      </c>
      <c r="U763" s="28" t="str">
        <f>HYPERLINK("https://media.infra-m.ru/1987/1987554/cover/1987554.jpg", "Обложка")</f>
        <v>Обложка</v>
      </c>
      <c r="V763" s="28" t="str">
        <f>HYPERLINK("https://znanium.ru/catalog/product/1987554", "Ознакомиться")</f>
        <v>Ознакомиться</v>
      </c>
      <c r="W763" s="8" t="s">
        <v>5020</v>
      </c>
      <c r="X763" s="6"/>
      <c r="Y763" s="6"/>
      <c r="Z763" s="6" t="s">
        <v>48</v>
      </c>
      <c r="AA763" s="6" t="s">
        <v>475</v>
      </c>
    </row>
    <row r="764" spans="1:27" s="4" customFormat="1" ht="51.95" customHeight="1">
      <c r="A764" s="5">
        <v>0</v>
      </c>
      <c r="B764" s="6" t="s">
        <v>5021</v>
      </c>
      <c r="C764" s="7">
        <v>1104</v>
      </c>
      <c r="D764" s="8" t="s">
        <v>5022</v>
      </c>
      <c r="E764" s="8" t="s">
        <v>5023</v>
      </c>
      <c r="F764" s="8" t="s">
        <v>5024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240</v>
      </c>
      <c r="L764" s="9">
        <v>2024</v>
      </c>
      <c r="M764" s="8" t="s">
        <v>5025</v>
      </c>
      <c r="N764" s="8" t="s">
        <v>118</v>
      </c>
      <c r="O764" s="8" t="s">
        <v>403</v>
      </c>
      <c r="P764" s="6" t="s">
        <v>43</v>
      </c>
      <c r="Q764" s="8" t="s">
        <v>44</v>
      </c>
      <c r="R764" s="10" t="s">
        <v>5026</v>
      </c>
      <c r="S764" s="11" t="s">
        <v>5027</v>
      </c>
      <c r="T764" s="6"/>
      <c r="U764" s="28" t="str">
        <f>HYPERLINK("https://media.infra-m.ru/2123/2123899/cover/2123899.jpg", "Обложка")</f>
        <v>Обложка</v>
      </c>
      <c r="V764" s="28" t="str">
        <f>HYPERLINK("https://znanium.ru/catalog/product/1242061", "Ознакомиться")</f>
        <v>Ознакомиться</v>
      </c>
      <c r="W764" s="8" t="s">
        <v>2364</v>
      </c>
      <c r="X764" s="6"/>
      <c r="Y764" s="6"/>
      <c r="Z764" s="6" t="s">
        <v>48</v>
      </c>
      <c r="AA764" s="6" t="s">
        <v>414</v>
      </c>
    </row>
    <row r="765" spans="1:27" s="4" customFormat="1" ht="51.95" customHeight="1">
      <c r="A765" s="5">
        <v>0</v>
      </c>
      <c r="B765" s="6" t="s">
        <v>5028</v>
      </c>
      <c r="C765" s="13">
        <v>710</v>
      </c>
      <c r="D765" s="8" t="s">
        <v>5029</v>
      </c>
      <c r="E765" s="8" t="s">
        <v>5030</v>
      </c>
      <c r="F765" s="8" t="s">
        <v>5031</v>
      </c>
      <c r="G765" s="6" t="s">
        <v>37</v>
      </c>
      <c r="H765" s="6" t="s">
        <v>79</v>
      </c>
      <c r="I765" s="8" t="s">
        <v>39</v>
      </c>
      <c r="J765" s="9">
        <v>1</v>
      </c>
      <c r="K765" s="9">
        <v>185</v>
      </c>
      <c r="L765" s="9">
        <v>2022</v>
      </c>
      <c r="M765" s="8" t="s">
        <v>5032</v>
      </c>
      <c r="N765" s="8" t="s">
        <v>118</v>
      </c>
      <c r="O765" s="8" t="s">
        <v>336</v>
      </c>
      <c r="P765" s="6" t="s">
        <v>43</v>
      </c>
      <c r="Q765" s="8" t="s">
        <v>44</v>
      </c>
      <c r="R765" s="10" t="s">
        <v>2565</v>
      </c>
      <c r="S765" s="11" t="s">
        <v>5033</v>
      </c>
      <c r="T765" s="6"/>
      <c r="U765" s="28" t="str">
        <f>HYPERLINK("https://media.infra-m.ru/1853/1853811/cover/1853811.jpg", "Обложка")</f>
        <v>Обложка</v>
      </c>
      <c r="V765" s="28" t="str">
        <f>HYPERLINK("https://znanium.ru/catalog/product/1853811", "Ознакомиться")</f>
        <v>Ознакомиться</v>
      </c>
      <c r="W765" s="8" t="s">
        <v>5034</v>
      </c>
      <c r="X765" s="6"/>
      <c r="Y765" s="6"/>
      <c r="Z765" s="6" t="s">
        <v>821</v>
      </c>
      <c r="AA765" s="6" t="s">
        <v>475</v>
      </c>
    </row>
    <row r="766" spans="1:27" s="4" customFormat="1" ht="42" customHeight="1">
      <c r="A766" s="5">
        <v>0</v>
      </c>
      <c r="B766" s="6" t="s">
        <v>5035</v>
      </c>
      <c r="C766" s="13">
        <v>350</v>
      </c>
      <c r="D766" s="8" t="s">
        <v>5036</v>
      </c>
      <c r="E766" s="8" t="s">
        <v>5037</v>
      </c>
      <c r="F766" s="8" t="s">
        <v>2526</v>
      </c>
      <c r="G766" s="6" t="s">
        <v>54</v>
      </c>
      <c r="H766" s="6" t="s">
        <v>55</v>
      </c>
      <c r="I766" s="8"/>
      <c r="J766" s="9">
        <v>1</v>
      </c>
      <c r="K766" s="9">
        <v>98</v>
      </c>
      <c r="L766" s="9">
        <v>2024</v>
      </c>
      <c r="M766" s="8" t="s">
        <v>5038</v>
      </c>
      <c r="N766" s="8" t="s">
        <v>68</v>
      </c>
      <c r="O766" s="8" t="s">
        <v>69</v>
      </c>
      <c r="P766" s="6" t="s">
        <v>144</v>
      </c>
      <c r="Q766" s="8" t="s">
        <v>44</v>
      </c>
      <c r="R766" s="10" t="s">
        <v>5039</v>
      </c>
      <c r="S766" s="11"/>
      <c r="T766" s="6"/>
      <c r="U766" s="28" t="str">
        <f>HYPERLINK("https://media.infra-m.ru/2093/2093939/cover/2093939.jpg", "Обложка")</f>
        <v>Обложка</v>
      </c>
      <c r="V766" s="28" t="str">
        <f>HYPERLINK("https://znanium.ru/catalog/product/2093939", "Ознакомиться")</f>
        <v>Ознакомиться</v>
      </c>
      <c r="W766" s="8"/>
      <c r="X766" s="6"/>
      <c r="Y766" s="6"/>
      <c r="Z766" s="6"/>
      <c r="AA766" s="6" t="s">
        <v>524</v>
      </c>
    </row>
    <row r="767" spans="1:27" s="4" customFormat="1" ht="42" customHeight="1">
      <c r="A767" s="5">
        <v>0</v>
      </c>
      <c r="B767" s="6" t="s">
        <v>5040</v>
      </c>
      <c r="C767" s="13">
        <v>164.9</v>
      </c>
      <c r="D767" s="8" t="s">
        <v>5041</v>
      </c>
      <c r="E767" s="8" t="s">
        <v>5042</v>
      </c>
      <c r="F767" s="8"/>
      <c r="G767" s="6" t="s">
        <v>54</v>
      </c>
      <c r="H767" s="6" t="s">
        <v>55</v>
      </c>
      <c r="I767" s="8"/>
      <c r="J767" s="9">
        <v>1</v>
      </c>
      <c r="K767" s="9">
        <v>96</v>
      </c>
      <c r="L767" s="9">
        <v>2018</v>
      </c>
      <c r="M767" s="8" t="s">
        <v>5043</v>
      </c>
      <c r="N767" s="8" t="s">
        <v>68</v>
      </c>
      <c r="O767" s="8" t="s">
        <v>69</v>
      </c>
      <c r="P767" s="6" t="s">
        <v>144</v>
      </c>
      <c r="Q767" s="8" t="s">
        <v>44</v>
      </c>
      <c r="R767" s="10" t="s">
        <v>5039</v>
      </c>
      <c r="S767" s="11"/>
      <c r="T767" s="6"/>
      <c r="U767" s="28" t="str">
        <f>HYPERLINK("https://media.infra-m.ru/0946/0946444/cover/946444.jpg", "Обложка")</f>
        <v>Обложка</v>
      </c>
      <c r="V767" s="28" t="str">
        <f>HYPERLINK("https://znanium.ru/catalog/product/2093939", "Ознакомиться")</f>
        <v>Ознакомиться</v>
      </c>
      <c r="W767" s="8"/>
      <c r="X767" s="6"/>
      <c r="Y767" s="6"/>
      <c r="Z767" s="6"/>
      <c r="AA767" s="6" t="s">
        <v>254</v>
      </c>
    </row>
    <row r="768" spans="1:27" s="4" customFormat="1" ht="51.95" customHeight="1">
      <c r="A768" s="5">
        <v>0</v>
      </c>
      <c r="B768" s="6" t="s">
        <v>5044</v>
      </c>
      <c r="C768" s="13">
        <v>870</v>
      </c>
      <c r="D768" s="8" t="s">
        <v>5045</v>
      </c>
      <c r="E768" s="8" t="s">
        <v>5046</v>
      </c>
      <c r="F768" s="8" t="s">
        <v>2526</v>
      </c>
      <c r="G768" s="6" t="s">
        <v>66</v>
      </c>
      <c r="H768" s="6" t="s">
        <v>79</v>
      </c>
      <c r="I768" s="8" t="s">
        <v>2527</v>
      </c>
      <c r="J768" s="9">
        <v>1</v>
      </c>
      <c r="K768" s="9">
        <v>184</v>
      </c>
      <c r="L768" s="9">
        <v>2024</v>
      </c>
      <c r="M768" s="8" t="s">
        <v>5047</v>
      </c>
      <c r="N768" s="8" t="s">
        <v>41</v>
      </c>
      <c r="O768" s="8" t="s">
        <v>160</v>
      </c>
      <c r="P768" s="6" t="s">
        <v>144</v>
      </c>
      <c r="Q768" s="8" t="s">
        <v>1233</v>
      </c>
      <c r="R768" s="10" t="s">
        <v>5048</v>
      </c>
      <c r="S768" s="11"/>
      <c r="T768" s="6"/>
      <c r="U768" s="28" t="str">
        <f>HYPERLINK("https://media.infra-m.ru/2143/2143709/cover/2143709.jpg", "Обложка")</f>
        <v>Обложка</v>
      </c>
      <c r="V768" s="28" t="str">
        <f>HYPERLINK("https://znanium.ru/catalog/product/2143709", "Ознакомиться")</f>
        <v>Ознакомиться</v>
      </c>
      <c r="W768" s="8"/>
      <c r="X768" s="6"/>
      <c r="Y768" s="6"/>
      <c r="Z768" s="6"/>
      <c r="AA768" s="6" t="s">
        <v>3123</v>
      </c>
    </row>
    <row r="769" spans="1:27" s="4" customFormat="1" ht="51.95" customHeight="1">
      <c r="A769" s="5">
        <v>0</v>
      </c>
      <c r="B769" s="6" t="s">
        <v>5049</v>
      </c>
      <c r="C769" s="13">
        <v>810</v>
      </c>
      <c r="D769" s="8" t="s">
        <v>5050</v>
      </c>
      <c r="E769" s="8" t="s">
        <v>5051</v>
      </c>
      <c r="F769" s="8" t="s">
        <v>5052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175</v>
      </c>
      <c r="L769" s="9">
        <v>2024</v>
      </c>
      <c r="M769" s="8" t="s">
        <v>5053</v>
      </c>
      <c r="N769" s="8" t="s">
        <v>118</v>
      </c>
      <c r="O769" s="8" t="s">
        <v>336</v>
      </c>
      <c r="P769" s="6" t="s">
        <v>43</v>
      </c>
      <c r="Q769" s="8" t="s">
        <v>44</v>
      </c>
      <c r="R769" s="10" t="s">
        <v>346</v>
      </c>
      <c r="S769" s="11" t="s">
        <v>5054</v>
      </c>
      <c r="T769" s="6"/>
      <c r="U769" s="28" t="str">
        <f>HYPERLINK("https://media.infra-m.ru/2115/2115724/cover/2115724.jpg", "Обложка")</f>
        <v>Обложка</v>
      </c>
      <c r="V769" s="28" t="str">
        <f>HYPERLINK("https://znanium.ru/catalog/product/2115724", "Ознакомиться")</f>
        <v>Ознакомиться</v>
      </c>
      <c r="W769" s="8" t="s">
        <v>359</v>
      </c>
      <c r="X769" s="6"/>
      <c r="Y769" s="6"/>
      <c r="Z769" s="6"/>
      <c r="AA769" s="6" t="s">
        <v>656</v>
      </c>
    </row>
    <row r="770" spans="1:27" s="4" customFormat="1" ht="51.95" customHeight="1">
      <c r="A770" s="5">
        <v>0</v>
      </c>
      <c r="B770" s="6" t="s">
        <v>5055</v>
      </c>
      <c r="C770" s="7">
        <v>1814</v>
      </c>
      <c r="D770" s="8" t="s">
        <v>5056</v>
      </c>
      <c r="E770" s="8" t="s">
        <v>5057</v>
      </c>
      <c r="F770" s="8" t="s">
        <v>5058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386</v>
      </c>
      <c r="L770" s="9">
        <v>2024</v>
      </c>
      <c r="M770" s="8" t="s">
        <v>5059</v>
      </c>
      <c r="N770" s="8" t="s">
        <v>118</v>
      </c>
      <c r="O770" s="8" t="s">
        <v>336</v>
      </c>
      <c r="P770" s="6" t="s">
        <v>70</v>
      </c>
      <c r="Q770" s="8" t="s">
        <v>44</v>
      </c>
      <c r="R770" s="10" t="s">
        <v>5060</v>
      </c>
      <c r="S770" s="11" t="s">
        <v>5061</v>
      </c>
      <c r="T770" s="6"/>
      <c r="U770" s="28" t="str">
        <f>HYPERLINK("https://media.infra-m.ru/2146/2146235/cover/2146235.jpg", "Обложка")</f>
        <v>Обложка</v>
      </c>
      <c r="V770" s="28" t="str">
        <f>HYPERLINK("https://znanium.ru/catalog/product/1852890", "Ознакомиться")</f>
        <v>Ознакомиться</v>
      </c>
      <c r="W770" s="8" t="s">
        <v>3561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5062</v>
      </c>
      <c r="C771" s="7">
        <v>2590</v>
      </c>
      <c r="D771" s="8" t="s">
        <v>5063</v>
      </c>
      <c r="E771" s="8" t="s">
        <v>5064</v>
      </c>
      <c r="F771" s="8" t="s">
        <v>5065</v>
      </c>
      <c r="G771" s="6" t="s">
        <v>37</v>
      </c>
      <c r="H771" s="6" t="s">
        <v>344</v>
      </c>
      <c r="I771" s="8" t="s">
        <v>39</v>
      </c>
      <c r="J771" s="9">
        <v>1</v>
      </c>
      <c r="K771" s="9">
        <v>576</v>
      </c>
      <c r="L771" s="9">
        <v>2023</v>
      </c>
      <c r="M771" s="8" t="s">
        <v>5066</v>
      </c>
      <c r="N771" s="8" t="s">
        <v>118</v>
      </c>
      <c r="O771" s="8" t="s">
        <v>336</v>
      </c>
      <c r="P771" s="6" t="s">
        <v>70</v>
      </c>
      <c r="Q771" s="8" t="s">
        <v>44</v>
      </c>
      <c r="R771" s="10" t="s">
        <v>4458</v>
      </c>
      <c r="S771" s="11" t="s">
        <v>5067</v>
      </c>
      <c r="T771" s="6"/>
      <c r="U771" s="28" t="str">
        <f>HYPERLINK("https://media.infra-m.ru/1876/1876648/cover/1876648.jpg", "Обложка")</f>
        <v>Обложка</v>
      </c>
      <c r="V771" s="28" t="str">
        <f>HYPERLINK("https://znanium.ru/catalog/product/1876648", "Ознакомиться")</f>
        <v>Ознакомиться</v>
      </c>
      <c r="W771" s="8" t="s">
        <v>5068</v>
      </c>
      <c r="X771" s="6"/>
      <c r="Y771" s="6"/>
      <c r="Z771" s="6" t="s">
        <v>48</v>
      </c>
      <c r="AA771" s="6" t="s">
        <v>348</v>
      </c>
    </row>
    <row r="772" spans="1:27" s="4" customFormat="1" ht="51.95" customHeight="1">
      <c r="A772" s="5">
        <v>0</v>
      </c>
      <c r="B772" s="6" t="s">
        <v>5069</v>
      </c>
      <c r="C772" s="7">
        <v>1230</v>
      </c>
      <c r="D772" s="8" t="s">
        <v>5070</v>
      </c>
      <c r="E772" s="8" t="s">
        <v>5057</v>
      </c>
      <c r="F772" s="8" t="s">
        <v>5065</v>
      </c>
      <c r="G772" s="6" t="s">
        <v>66</v>
      </c>
      <c r="H772" s="6" t="s">
        <v>344</v>
      </c>
      <c r="I772" s="8" t="s">
        <v>39</v>
      </c>
      <c r="J772" s="9">
        <v>1</v>
      </c>
      <c r="K772" s="9">
        <v>384</v>
      </c>
      <c r="L772" s="9">
        <v>2019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4458</v>
      </c>
      <c r="S772" s="11" t="s">
        <v>5067</v>
      </c>
      <c r="T772" s="6"/>
      <c r="U772" s="28" t="str">
        <f>HYPERLINK("https://media.infra-m.ru/1020/1020226/cover/1020226.jpg", "Обложка")</f>
        <v>Обложка</v>
      </c>
      <c r="V772" s="28" t="str">
        <f>HYPERLINK("https://znanium.ru/catalog/product/1876648", "Ознакомиться")</f>
        <v>Ознакомиться</v>
      </c>
      <c r="W772" s="8" t="s">
        <v>5068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5072</v>
      </c>
      <c r="C773" s="7">
        <v>1630</v>
      </c>
      <c r="D773" s="8" t="s">
        <v>5073</v>
      </c>
      <c r="E773" s="8" t="s">
        <v>5074</v>
      </c>
      <c r="F773" s="8" t="s">
        <v>5075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428</v>
      </c>
      <c r="L773" s="9">
        <v>2022</v>
      </c>
      <c r="M773" s="8" t="s">
        <v>5076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346</v>
      </c>
      <c r="S773" s="11" t="s">
        <v>5077</v>
      </c>
      <c r="T773" s="6"/>
      <c r="U773" s="28" t="str">
        <f>HYPERLINK("https://media.infra-m.ru/1816/1816810/cover/1816810.jpg", "Обложка")</f>
        <v>Обложка</v>
      </c>
      <c r="V773" s="28" t="str">
        <f>HYPERLINK("https://znanium.ru/catalog/product/1816810", "Ознакомиться")</f>
        <v>Ознакомиться</v>
      </c>
      <c r="W773" s="8" t="s">
        <v>4452</v>
      </c>
      <c r="X773" s="6"/>
      <c r="Y773" s="6"/>
      <c r="Z773" s="6" t="s">
        <v>48</v>
      </c>
      <c r="AA773" s="6" t="s">
        <v>475</v>
      </c>
    </row>
    <row r="774" spans="1:27" s="4" customFormat="1" ht="51.95" customHeight="1">
      <c r="A774" s="5">
        <v>0</v>
      </c>
      <c r="B774" s="6" t="s">
        <v>5078</v>
      </c>
      <c r="C774" s="7">
        <v>1000</v>
      </c>
      <c r="D774" s="8" t="s">
        <v>5079</v>
      </c>
      <c r="E774" s="8" t="s">
        <v>5080</v>
      </c>
      <c r="F774" s="8" t="s">
        <v>5081</v>
      </c>
      <c r="G774" s="6" t="s">
        <v>66</v>
      </c>
      <c r="H774" s="6" t="s">
        <v>55</v>
      </c>
      <c r="I774" s="8" t="s">
        <v>56</v>
      </c>
      <c r="J774" s="9">
        <v>1</v>
      </c>
      <c r="K774" s="9">
        <v>221</v>
      </c>
      <c r="L774" s="9">
        <v>2022</v>
      </c>
      <c r="M774" s="8" t="s">
        <v>5082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5083</v>
      </c>
      <c r="S774" s="11" t="s">
        <v>72</v>
      </c>
      <c r="T774" s="6"/>
      <c r="U774" s="28" t="str">
        <f>HYPERLINK("https://media.infra-m.ru/1920/1920494/cover/1920494.jpg", "Обложка")</f>
        <v>Обложка</v>
      </c>
      <c r="V774" s="28" t="str">
        <f>HYPERLINK("https://znanium.ru/catalog/product/2085098", "Ознакомиться")</f>
        <v>Ознакомиться</v>
      </c>
      <c r="W774" s="8" t="s">
        <v>5084</v>
      </c>
      <c r="X774" s="6"/>
      <c r="Y774" s="6" t="s">
        <v>30</v>
      </c>
      <c r="Z774" s="6"/>
      <c r="AA774" s="6" t="s">
        <v>5085</v>
      </c>
    </row>
    <row r="775" spans="1:27" s="4" customFormat="1" ht="51.95" customHeight="1">
      <c r="A775" s="5">
        <v>0</v>
      </c>
      <c r="B775" s="6" t="s">
        <v>5086</v>
      </c>
      <c r="C775" s="7">
        <v>1100</v>
      </c>
      <c r="D775" s="8" t="s">
        <v>5087</v>
      </c>
      <c r="E775" s="8" t="s">
        <v>5088</v>
      </c>
      <c r="F775" s="8" t="s">
        <v>5081</v>
      </c>
      <c r="G775" s="6" t="s">
        <v>66</v>
      </c>
      <c r="H775" s="6" t="s">
        <v>55</v>
      </c>
      <c r="I775" s="8" t="s">
        <v>56</v>
      </c>
      <c r="J775" s="9">
        <v>1</v>
      </c>
      <c r="K775" s="9">
        <v>212</v>
      </c>
      <c r="L775" s="9">
        <v>2024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5083</v>
      </c>
      <c r="S775" s="11" t="s">
        <v>72</v>
      </c>
      <c r="T775" s="6"/>
      <c r="U775" s="28" t="str">
        <f>HYPERLINK("https://media.infra-m.ru/2085/2085098/cover/2085098.jpg", "Обложка")</f>
        <v>Обложка</v>
      </c>
      <c r="V775" s="28" t="str">
        <f>HYPERLINK("https://znanium.ru/catalog/product/2085098", "Ознакомиться")</f>
        <v>Ознакомиться</v>
      </c>
      <c r="W775" s="8" t="s">
        <v>5084</v>
      </c>
      <c r="X775" s="6" t="s">
        <v>635</v>
      </c>
      <c r="Y775" s="6" t="s">
        <v>30</v>
      </c>
      <c r="Z775" s="6"/>
      <c r="AA775" s="6" t="s">
        <v>5090</v>
      </c>
    </row>
    <row r="776" spans="1:27" s="4" customFormat="1" ht="51.95" customHeight="1">
      <c r="A776" s="5">
        <v>0</v>
      </c>
      <c r="B776" s="6" t="s">
        <v>5091</v>
      </c>
      <c r="C776" s="7">
        <v>1714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283</v>
      </c>
      <c r="I776" s="8" t="s">
        <v>39</v>
      </c>
      <c r="J776" s="9">
        <v>1</v>
      </c>
      <c r="K776" s="9">
        <v>364</v>
      </c>
      <c r="L776" s="9">
        <v>2024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5097</v>
      </c>
      <c r="T776" s="6"/>
      <c r="U776" s="28" t="str">
        <f>HYPERLINK("https://media.infra-m.ru/2145/2145079/cover/2145079.jpg", "Обложка")</f>
        <v>Обложка</v>
      </c>
      <c r="V776" s="28" t="str">
        <f>HYPERLINK("https://znanium.ru/catalog/product/1865357", "Ознакомиться")</f>
        <v>Ознакомиться</v>
      </c>
      <c r="W776" s="8" t="s">
        <v>5098</v>
      </c>
      <c r="X776" s="6"/>
      <c r="Y776" s="6" t="s">
        <v>30</v>
      </c>
      <c r="Z776" s="6"/>
      <c r="AA776" s="6" t="s">
        <v>414</v>
      </c>
    </row>
    <row r="777" spans="1:27" s="4" customFormat="1" ht="42" customHeight="1">
      <c r="A777" s="5">
        <v>0</v>
      </c>
      <c r="B777" s="6" t="s">
        <v>5099</v>
      </c>
      <c r="C777" s="13">
        <v>669.9</v>
      </c>
      <c r="D777" s="8" t="s">
        <v>5100</v>
      </c>
      <c r="E777" s="8" t="s">
        <v>5101</v>
      </c>
      <c r="F777" s="8" t="s">
        <v>5102</v>
      </c>
      <c r="G777" s="6" t="s">
        <v>37</v>
      </c>
      <c r="H777" s="6" t="s">
        <v>55</v>
      </c>
      <c r="I777" s="8" t="s">
        <v>56</v>
      </c>
      <c r="J777" s="9">
        <v>1</v>
      </c>
      <c r="K777" s="9">
        <v>177</v>
      </c>
      <c r="L777" s="9">
        <v>2021</v>
      </c>
      <c r="M777" s="8" t="s">
        <v>5103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4458</v>
      </c>
      <c r="S777" s="11"/>
      <c r="T777" s="6"/>
      <c r="U777" s="28" t="str">
        <f>HYPERLINK("https://media.infra-m.ru/1461/1461283/cover/1461283.jpg", "Обложка")</f>
        <v>Обложка</v>
      </c>
      <c r="V777" s="28" t="str">
        <f>HYPERLINK("https://znanium.ru/catalog/product/1461283", "Ознакомиться")</f>
        <v>Ознакомиться</v>
      </c>
      <c r="W777" s="8" t="s">
        <v>756</v>
      </c>
      <c r="X777" s="6"/>
      <c r="Y777" s="6"/>
      <c r="Z777" s="6" t="s">
        <v>48</v>
      </c>
      <c r="AA777" s="6" t="s">
        <v>213</v>
      </c>
    </row>
    <row r="778" spans="1:27" s="4" customFormat="1" ht="44.1" customHeight="1">
      <c r="A778" s="5">
        <v>0</v>
      </c>
      <c r="B778" s="6" t="s">
        <v>5104</v>
      </c>
      <c r="C778" s="13">
        <v>594</v>
      </c>
      <c r="D778" s="8" t="s">
        <v>5105</v>
      </c>
      <c r="E778" s="8" t="s">
        <v>5106</v>
      </c>
      <c r="F778" s="8" t="s">
        <v>4575</v>
      </c>
      <c r="G778" s="6" t="s">
        <v>54</v>
      </c>
      <c r="H778" s="6" t="s">
        <v>38</v>
      </c>
      <c r="I778" s="8" t="s">
        <v>56</v>
      </c>
      <c r="J778" s="9">
        <v>1</v>
      </c>
      <c r="K778" s="9">
        <v>128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5108</v>
      </c>
      <c r="Q778" s="8" t="s">
        <v>44</v>
      </c>
      <c r="R778" s="10" t="s">
        <v>5109</v>
      </c>
      <c r="S778" s="11"/>
      <c r="T778" s="6"/>
      <c r="U778" s="28" t="str">
        <f>HYPERLINK("https://media.infra-m.ru/2056/2056804/cover/2056804.jpg", "Обложка")</f>
        <v>Обложка</v>
      </c>
      <c r="V778" s="28" t="str">
        <f>HYPERLINK("https://znanium.ru/catalog/product/1834716", "Ознакомиться")</f>
        <v>Ознакомиться</v>
      </c>
      <c r="W778" s="8" t="s">
        <v>73</v>
      </c>
      <c r="X778" s="6"/>
      <c r="Y778" s="6" t="s">
        <v>30</v>
      </c>
      <c r="Z778" s="6"/>
      <c r="AA778" s="6" t="s">
        <v>1957</v>
      </c>
    </row>
    <row r="779" spans="1:27" s="4" customFormat="1" ht="44.1" customHeight="1">
      <c r="A779" s="5">
        <v>0</v>
      </c>
      <c r="B779" s="6" t="s">
        <v>5110</v>
      </c>
      <c r="C779" s="13">
        <v>454.9</v>
      </c>
      <c r="D779" s="8" t="s">
        <v>5111</v>
      </c>
      <c r="E779" s="8" t="s">
        <v>5093</v>
      </c>
      <c r="F779" s="8" t="s">
        <v>5112</v>
      </c>
      <c r="G779" s="6" t="s">
        <v>54</v>
      </c>
      <c r="H779" s="6" t="s">
        <v>55</v>
      </c>
      <c r="I779" s="8" t="s">
        <v>56</v>
      </c>
      <c r="J779" s="9">
        <v>1</v>
      </c>
      <c r="K779" s="9">
        <v>203</v>
      </c>
      <c r="L779" s="9">
        <v>2020</v>
      </c>
      <c r="M779" s="8" t="s">
        <v>5113</v>
      </c>
      <c r="N779" s="8" t="s">
        <v>118</v>
      </c>
      <c r="O779" s="8" t="s">
        <v>336</v>
      </c>
      <c r="P779" s="6" t="s">
        <v>43</v>
      </c>
      <c r="Q779" s="8" t="s">
        <v>44</v>
      </c>
      <c r="R779" s="10" t="s">
        <v>5114</v>
      </c>
      <c r="S779" s="11"/>
      <c r="T779" s="6"/>
      <c r="U779" s="28" t="str">
        <f>HYPERLINK("https://media.infra-m.ru/1015/1015080/cover/1015080.jpg", "Обложка")</f>
        <v>Обложка</v>
      </c>
      <c r="V779" s="28" t="str">
        <f>HYPERLINK("https://znanium.ru/catalog/product/1015080", "Ознакомиться")</f>
        <v>Ознакомиться</v>
      </c>
      <c r="W779" s="8" t="s">
        <v>5084</v>
      </c>
      <c r="X779" s="6"/>
      <c r="Y779" s="6" t="s">
        <v>30</v>
      </c>
      <c r="Z779" s="6"/>
      <c r="AA779" s="6" t="s">
        <v>2858</v>
      </c>
    </row>
    <row r="780" spans="1:27" s="4" customFormat="1" ht="51.95" customHeight="1">
      <c r="A780" s="5">
        <v>0</v>
      </c>
      <c r="B780" s="6" t="s">
        <v>5115</v>
      </c>
      <c r="C780" s="7">
        <v>1130</v>
      </c>
      <c r="D780" s="8" t="s">
        <v>5116</v>
      </c>
      <c r="E780" s="8" t="s">
        <v>5101</v>
      </c>
      <c r="F780" s="8" t="s">
        <v>5117</v>
      </c>
      <c r="G780" s="6" t="s">
        <v>66</v>
      </c>
      <c r="H780" s="6" t="s">
        <v>283</v>
      </c>
      <c r="I780" s="8" t="s">
        <v>39</v>
      </c>
      <c r="J780" s="9">
        <v>1</v>
      </c>
      <c r="K780" s="9">
        <v>333</v>
      </c>
      <c r="L780" s="9">
        <v>2019</v>
      </c>
      <c r="M780" s="8" t="s">
        <v>5118</v>
      </c>
      <c r="N780" s="8" t="s">
        <v>118</v>
      </c>
      <c r="O780" s="8" t="s">
        <v>336</v>
      </c>
      <c r="P780" s="6" t="s">
        <v>70</v>
      </c>
      <c r="Q780" s="8" t="s">
        <v>44</v>
      </c>
      <c r="R780" s="10" t="s">
        <v>5096</v>
      </c>
      <c r="S780" s="11" t="s">
        <v>5119</v>
      </c>
      <c r="T780" s="6"/>
      <c r="U780" s="28" t="str">
        <f>HYPERLINK("https://media.infra-m.ru/1003/1003313/cover/1003313.jpg", "Обложка")</f>
        <v>Обложка</v>
      </c>
      <c r="V780" s="28" t="str">
        <f>HYPERLINK("https://znanium.ru/catalog/product/1865357", "Ознакомиться")</f>
        <v>Ознакомиться</v>
      </c>
      <c r="W780" s="8" t="s">
        <v>5098</v>
      </c>
      <c r="X780" s="6"/>
      <c r="Y780" s="6" t="s">
        <v>30</v>
      </c>
      <c r="Z780" s="6"/>
      <c r="AA780" s="6" t="s">
        <v>103</v>
      </c>
    </row>
    <row r="781" spans="1:27" s="4" customFormat="1" ht="51.95" customHeight="1">
      <c r="A781" s="5">
        <v>0</v>
      </c>
      <c r="B781" s="6" t="s">
        <v>5120</v>
      </c>
      <c r="C781" s="7">
        <v>1094</v>
      </c>
      <c r="D781" s="8" t="s">
        <v>5121</v>
      </c>
      <c r="E781" s="8" t="s">
        <v>5101</v>
      </c>
      <c r="F781" s="8" t="s">
        <v>5122</v>
      </c>
      <c r="G781" s="6" t="s">
        <v>66</v>
      </c>
      <c r="H781" s="6" t="s">
        <v>283</v>
      </c>
      <c r="I781" s="8" t="s">
        <v>39</v>
      </c>
      <c r="J781" s="9">
        <v>1</v>
      </c>
      <c r="K781" s="9">
        <v>239</v>
      </c>
      <c r="L781" s="9">
        <v>2024</v>
      </c>
      <c r="M781" s="8" t="s">
        <v>5123</v>
      </c>
      <c r="N781" s="8" t="s">
        <v>118</v>
      </c>
      <c r="O781" s="8" t="s">
        <v>336</v>
      </c>
      <c r="P781" s="6" t="s">
        <v>70</v>
      </c>
      <c r="Q781" s="8" t="s">
        <v>44</v>
      </c>
      <c r="R781" s="10" t="s">
        <v>5124</v>
      </c>
      <c r="S781" s="11" t="s">
        <v>5125</v>
      </c>
      <c r="T781" s="6"/>
      <c r="U781" s="28" t="str">
        <f>HYPERLINK("https://media.infra-m.ru/2122/2122499/cover/2122499.jpg", "Обложка")</f>
        <v>Обложка</v>
      </c>
      <c r="V781" s="28" t="str">
        <f>HYPERLINK("https://znanium.ru/catalog/product/1225693", "Ознакомиться")</f>
        <v>Ознакомиться</v>
      </c>
      <c r="W781" s="8" t="s">
        <v>172</v>
      </c>
      <c r="X781" s="6"/>
      <c r="Y781" s="6" t="s">
        <v>30</v>
      </c>
      <c r="Z781" s="6"/>
      <c r="AA781" s="6" t="s">
        <v>245</v>
      </c>
    </row>
    <row r="782" spans="1:27" s="4" customFormat="1" ht="51.95" customHeight="1">
      <c r="A782" s="5">
        <v>0</v>
      </c>
      <c r="B782" s="6" t="s">
        <v>5126</v>
      </c>
      <c r="C782" s="7">
        <v>1220</v>
      </c>
      <c r="D782" s="8" t="s">
        <v>5127</v>
      </c>
      <c r="E782" s="8" t="s">
        <v>5128</v>
      </c>
      <c r="F782" s="8" t="s">
        <v>5129</v>
      </c>
      <c r="G782" s="6" t="s">
        <v>66</v>
      </c>
      <c r="H782" s="6" t="s">
        <v>79</v>
      </c>
      <c r="I782" s="8" t="s">
        <v>39</v>
      </c>
      <c r="J782" s="9">
        <v>1</v>
      </c>
      <c r="K782" s="9">
        <v>289</v>
      </c>
      <c r="L782" s="9">
        <v>2022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5131</v>
      </c>
      <c r="S782" s="11" t="s">
        <v>5132</v>
      </c>
      <c r="T782" s="6" t="s">
        <v>110</v>
      </c>
      <c r="U782" s="28" t="str">
        <f>HYPERLINK("https://media.infra-m.ru/1872/1872294/cover/1872294.jpg", "Обложка")</f>
        <v>Обложка</v>
      </c>
      <c r="V782" s="12"/>
      <c r="W782" s="8" t="s">
        <v>365</v>
      </c>
      <c r="X782" s="6"/>
      <c r="Y782" s="6"/>
      <c r="Z782" s="6" t="s">
        <v>48</v>
      </c>
      <c r="AA782" s="6" t="s">
        <v>475</v>
      </c>
    </row>
    <row r="783" spans="1:27" s="4" customFormat="1" ht="51.95" customHeight="1">
      <c r="A783" s="5">
        <v>0</v>
      </c>
      <c r="B783" s="6" t="s">
        <v>5133</v>
      </c>
      <c r="C783" s="7">
        <v>1120</v>
      </c>
      <c r="D783" s="8" t="s">
        <v>5134</v>
      </c>
      <c r="E783" s="8" t="s">
        <v>5135</v>
      </c>
      <c r="F783" s="8" t="s">
        <v>1812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236</v>
      </c>
      <c r="L783" s="9">
        <v>2023</v>
      </c>
      <c r="M783" s="8" t="s">
        <v>5136</v>
      </c>
      <c r="N783" s="8" t="s">
        <v>118</v>
      </c>
      <c r="O783" s="8" t="s">
        <v>336</v>
      </c>
      <c r="P783" s="6" t="s">
        <v>43</v>
      </c>
      <c r="Q783" s="8" t="s">
        <v>44</v>
      </c>
      <c r="R783" s="10" t="s">
        <v>1486</v>
      </c>
      <c r="S783" s="11" t="s">
        <v>5137</v>
      </c>
      <c r="T783" s="6"/>
      <c r="U783" s="28" t="str">
        <f>HYPERLINK("https://media.infra-m.ru/1860/1860974/cover/1860974.jpg", "Обложка")</f>
        <v>Обложка</v>
      </c>
      <c r="V783" s="28" t="str">
        <f>HYPERLINK("https://znanium.ru/catalog/product/1860974", "Ознакомиться")</f>
        <v>Ознакомиться</v>
      </c>
      <c r="W783" s="8" t="s">
        <v>1815</v>
      </c>
      <c r="X783" s="6"/>
      <c r="Y783" s="6"/>
      <c r="Z783" s="6"/>
      <c r="AA783" s="6" t="s">
        <v>85</v>
      </c>
    </row>
    <row r="784" spans="1:27" s="4" customFormat="1" ht="51.95" customHeight="1">
      <c r="A784" s="5">
        <v>0</v>
      </c>
      <c r="B784" s="6" t="s">
        <v>5138</v>
      </c>
      <c r="C784" s="7">
        <v>1160</v>
      </c>
      <c r="D784" s="8" t="s">
        <v>5139</v>
      </c>
      <c r="E784" s="8" t="s">
        <v>5140</v>
      </c>
      <c r="F784" s="8" t="s">
        <v>5141</v>
      </c>
      <c r="G784" s="6" t="s">
        <v>37</v>
      </c>
      <c r="H784" s="6" t="s">
        <v>79</v>
      </c>
      <c r="I784" s="8" t="s">
        <v>39</v>
      </c>
      <c r="J784" s="9">
        <v>1</v>
      </c>
      <c r="K784" s="9">
        <v>252</v>
      </c>
      <c r="L784" s="9">
        <v>2023</v>
      </c>
      <c r="M784" s="8" t="s">
        <v>5142</v>
      </c>
      <c r="N784" s="8" t="s">
        <v>118</v>
      </c>
      <c r="O784" s="8" t="s">
        <v>336</v>
      </c>
      <c r="P784" s="6" t="s">
        <v>43</v>
      </c>
      <c r="Q784" s="8" t="s">
        <v>44</v>
      </c>
      <c r="R784" s="10" t="s">
        <v>91</v>
      </c>
      <c r="S784" s="11" t="s">
        <v>5143</v>
      </c>
      <c r="T784" s="6"/>
      <c r="U784" s="28" t="str">
        <f>HYPERLINK("https://media.infra-m.ru/1891/1891021/cover/1891021.jpg", "Обложка")</f>
        <v>Обложка</v>
      </c>
      <c r="V784" s="28" t="str">
        <f>HYPERLINK("https://znanium.ru/catalog/product/1891021", "Ознакомиться")</f>
        <v>Ознакомиться</v>
      </c>
      <c r="W784" s="8" t="s">
        <v>5144</v>
      </c>
      <c r="X784" s="6"/>
      <c r="Y784" s="6"/>
      <c r="Z784" s="6"/>
      <c r="AA784" s="6" t="s">
        <v>85</v>
      </c>
    </row>
    <row r="785" spans="1:27" s="4" customFormat="1" ht="42" customHeight="1">
      <c r="A785" s="5">
        <v>0</v>
      </c>
      <c r="B785" s="6" t="s">
        <v>5145</v>
      </c>
      <c r="C785" s="7">
        <v>1794</v>
      </c>
      <c r="D785" s="8" t="s">
        <v>5146</v>
      </c>
      <c r="E785" s="8" t="s">
        <v>5147</v>
      </c>
      <c r="F785" s="8" t="s">
        <v>5148</v>
      </c>
      <c r="G785" s="6" t="s">
        <v>66</v>
      </c>
      <c r="H785" s="6" t="s">
        <v>344</v>
      </c>
      <c r="I785" s="8" t="s">
        <v>39</v>
      </c>
      <c r="J785" s="9">
        <v>1</v>
      </c>
      <c r="K785" s="9">
        <v>432</v>
      </c>
      <c r="L785" s="9">
        <v>2022</v>
      </c>
      <c r="M785" s="8" t="s">
        <v>5149</v>
      </c>
      <c r="N785" s="8" t="s">
        <v>118</v>
      </c>
      <c r="O785" s="8" t="s">
        <v>336</v>
      </c>
      <c r="P785" s="6" t="s">
        <v>70</v>
      </c>
      <c r="Q785" s="8" t="s">
        <v>44</v>
      </c>
      <c r="R785" s="10" t="s">
        <v>346</v>
      </c>
      <c r="S785" s="11"/>
      <c r="T785" s="6"/>
      <c r="U785" s="28" t="str">
        <f>HYPERLINK("https://media.infra-m.ru/1874/1874641/cover/1874641.jpg", "Обложка")</f>
        <v>Обложка</v>
      </c>
      <c r="V785" s="28" t="str">
        <f>HYPERLINK("https://znanium.ru/catalog/product/1867896", "Ознакомиться")</f>
        <v>Ознакомиться</v>
      </c>
      <c r="W785" s="8" t="s">
        <v>5150</v>
      </c>
      <c r="X785" s="6"/>
      <c r="Y785" s="6"/>
      <c r="Z785" s="6"/>
      <c r="AA785" s="6" t="s">
        <v>475</v>
      </c>
    </row>
    <row r="786" spans="1:27" s="4" customFormat="1" ht="42" customHeight="1">
      <c r="A786" s="5">
        <v>0</v>
      </c>
      <c r="B786" s="6" t="s">
        <v>5151</v>
      </c>
      <c r="C786" s="7">
        <v>1350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287</v>
      </c>
      <c r="L786" s="9">
        <v>2024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/>
      <c r="T786" s="6"/>
      <c r="U786" s="28" t="str">
        <f>HYPERLINK("https://media.infra-m.ru/1865/1865662/cover/1865662.jpg", "Обложка")</f>
        <v>Обложка</v>
      </c>
      <c r="V786" s="28" t="str">
        <f>HYPERLINK("https://znanium.ru/catalog/product/1865662", "Ознакомиться")</f>
        <v>Ознакомиться</v>
      </c>
      <c r="W786" s="8" t="s">
        <v>2567</v>
      </c>
      <c r="X786" s="6" t="s">
        <v>597</v>
      </c>
      <c r="Y786" s="6"/>
      <c r="Z786" s="6"/>
      <c r="AA786" s="6" t="s">
        <v>339</v>
      </c>
    </row>
    <row r="787" spans="1:27" s="4" customFormat="1" ht="51.95" customHeight="1">
      <c r="A787" s="5">
        <v>0</v>
      </c>
      <c r="B787" s="6" t="s">
        <v>5156</v>
      </c>
      <c r="C787" s="13">
        <v>820</v>
      </c>
      <c r="D787" s="8" t="s">
        <v>5157</v>
      </c>
      <c r="E787" s="8" t="s">
        <v>5153</v>
      </c>
      <c r="F787" s="8" t="s">
        <v>5141</v>
      </c>
      <c r="G787" s="6" t="s">
        <v>66</v>
      </c>
      <c r="H787" s="6" t="s">
        <v>283</v>
      </c>
      <c r="I787" s="8" t="s">
        <v>39</v>
      </c>
      <c r="J787" s="9">
        <v>1</v>
      </c>
      <c r="K787" s="9">
        <v>256</v>
      </c>
      <c r="L787" s="9">
        <v>2019</v>
      </c>
      <c r="M787" s="8" t="s">
        <v>5158</v>
      </c>
      <c r="N787" s="8" t="s">
        <v>118</v>
      </c>
      <c r="O787" s="8" t="s">
        <v>336</v>
      </c>
      <c r="P787" s="6" t="s">
        <v>43</v>
      </c>
      <c r="Q787" s="8" t="s">
        <v>44</v>
      </c>
      <c r="R787" s="10" t="s">
        <v>2565</v>
      </c>
      <c r="S787" s="11" t="s">
        <v>5159</v>
      </c>
      <c r="T787" s="6"/>
      <c r="U787" s="28" t="str">
        <f>HYPERLINK("https://media.infra-m.ru/0982/0982775/cover/982775.jpg", "Обложка")</f>
        <v>Обложка</v>
      </c>
      <c r="V787" s="28" t="str">
        <f>HYPERLINK("https://znanium.ru/catalog/product/1852912", "Ознакомиться")</f>
        <v>Ознакомиться</v>
      </c>
      <c r="W787" s="8" t="s">
        <v>5144</v>
      </c>
      <c r="X787" s="6"/>
      <c r="Y787" s="6"/>
      <c r="Z787" s="6"/>
      <c r="AA787" s="6" t="s">
        <v>587</v>
      </c>
    </row>
    <row r="788" spans="1:27" s="4" customFormat="1" ht="42" customHeight="1">
      <c r="A788" s="5">
        <v>0</v>
      </c>
      <c r="B788" s="6" t="s">
        <v>5160</v>
      </c>
      <c r="C788" s="7">
        <v>1210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79</v>
      </c>
      <c r="I788" s="8" t="s">
        <v>39</v>
      </c>
      <c r="J788" s="9">
        <v>1</v>
      </c>
      <c r="K788" s="9">
        <v>268</v>
      </c>
      <c r="L788" s="9">
        <v>2023</v>
      </c>
      <c r="M788" s="8" t="s">
        <v>5164</v>
      </c>
      <c r="N788" s="8" t="s">
        <v>68</v>
      </c>
      <c r="O788" s="8" t="s">
        <v>2204</v>
      </c>
      <c r="P788" s="6" t="s">
        <v>43</v>
      </c>
      <c r="Q788" s="8" t="s">
        <v>44</v>
      </c>
      <c r="R788" s="10" t="s">
        <v>3758</v>
      </c>
      <c r="S788" s="11"/>
      <c r="T788" s="6"/>
      <c r="U788" s="28" t="str">
        <f>HYPERLINK("https://media.infra-m.ru/1897/1897061/cover/1897061.jpg", "Обложка")</f>
        <v>Обложка</v>
      </c>
      <c r="V788" s="28" t="str">
        <f>HYPERLINK("https://znanium.ru/catalog/product/1897061", "Ознакомиться")</f>
        <v>Ознакомиться</v>
      </c>
      <c r="W788" s="8" t="s">
        <v>5165</v>
      </c>
      <c r="X788" s="6"/>
      <c r="Y788" s="6"/>
      <c r="Z788" s="6"/>
      <c r="AA788" s="6" t="s">
        <v>475</v>
      </c>
    </row>
    <row r="789" spans="1:27" s="4" customFormat="1" ht="42" customHeight="1">
      <c r="A789" s="5">
        <v>0</v>
      </c>
      <c r="B789" s="6" t="s">
        <v>5166</v>
      </c>
      <c r="C789" s="13">
        <v>980</v>
      </c>
      <c r="D789" s="8" t="s">
        <v>5167</v>
      </c>
      <c r="E789" s="8" t="s">
        <v>5168</v>
      </c>
      <c r="F789" s="8" t="s">
        <v>5169</v>
      </c>
      <c r="G789" s="6" t="s">
        <v>54</v>
      </c>
      <c r="H789" s="6" t="s">
        <v>38</v>
      </c>
      <c r="I789" s="8" t="s">
        <v>39</v>
      </c>
      <c r="J789" s="9">
        <v>1</v>
      </c>
      <c r="K789" s="9">
        <v>168</v>
      </c>
      <c r="L789" s="9">
        <v>2023</v>
      </c>
      <c r="M789" s="8" t="s">
        <v>5170</v>
      </c>
      <c r="N789" s="8" t="s">
        <v>41</v>
      </c>
      <c r="O789" s="8" t="s">
        <v>42</v>
      </c>
      <c r="P789" s="6" t="s">
        <v>1157</v>
      </c>
      <c r="Q789" s="8" t="s">
        <v>44</v>
      </c>
      <c r="R789" s="10" t="s">
        <v>5171</v>
      </c>
      <c r="S789" s="11"/>
      <c r="T789" s="6"/>
      <c r="U789" s="28" t="str">
        <f>HYPERLINK("https://media.infra-m.ru/1876/1876265/cover/1876265.jpg", "Обложка")</f>
        <v>Обложка</v>
      </c>
      <c r="V789" s="28" t="str">
        <f>HYPERLINK("https://znanium.ru/catalog/product/1876265", "Ознакомиться")</f>
        <v>Ознакомиться</v>
      </c>
      <c r="W789" s="8" t="s">
        <v>163</v>
      </c>
      <c r="X789" s="6"/>
      <c r="Y789" s="6"/>
      <c r="Z789" s="6"/>
      <c r="AA789" s="6" t="s">
        <v>1780</v>
      </c>
    </row>
    <row r="790" spans="1:27" s="4" customFormat="1" ht="51.95" customHeight="1">
      <c r="A790" s="5">
        <v>0</v>
      </c>
      <c r="B790" s="6" t="s">
        <v>5172</v>
      </c>
      <c r="C790" s="7">
        <v>1360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283</v>
      </c>
      <c r="I790" s="8" t="s">
        <v>39</v>
      </c>
      <c r="J790" s="9">
        <v>1</v>
      </c>
      <c r="K790" s="9">
        <v>288</v>
      </c>
      <c r="L790" s="9">
        <v>2024</v>
      </c>
      <c r="M790" s="8" t="s">
        <v>5176</v>
      </c>
      <c r="N790" s="8" t="s">
        <v>41</v>
      </c>
      <c r="O790" s="8" t="s">
        <v>42</v>
      </c>
      <c r="P790" s="6" t="s">
        <v>43</v>
      </c>
      <c r="Q790" s="8" t="s">
        <v>44</v>
      </c>
      <c r="R790" s="10" t="s">
        <v>5177</v>
      </c>
      <c r="S790" s="11" t="s">
        <v>1691</v>
      </c>
      <c r="T790" s="6" t="s">
        <v>110</v>
      </c>
      <c r="U790" s="28" t="str">
        <f>HYPERLINK("https://media.infra-m.ru/2151/2151380/cover/2151380.jpg", "Обложка")</f>
        <v>Обложка</v>
      </c>
      <c r="V790" s="28" t="str">
        <f>HYPERLINK("https://znanium.ru/catalog/product/2151380", "Ознакомиться")</f>
        <v>Ознакомиться</v>
      </c>
      <c r="W790" s="8" t="s">
        <v>2378</v>
      </c>
      <c r="X790" s="6"/>
      <c r="Y790" s="6" t="s">
        <v>30</v>
      </c>
      <c r="Z790" s="6"/>
      <c r="AA790" s="6" t="s">
        <v>288</v>
      </c>
    </row>
    <row r="791" spans="1:27" s="4" customFormat="1" ht="51.95" customHeight="1">
      <c r="A791" s="5">
        <v>0</v>
      </c>
      <c r="B791" s="6" t="s">
        <v>5178</v>
      </c>
      <c r="C791" s="7">
        <v>1330</v>
      </c>
      <c r="D791" s="8" t="s">
        <v>5179</v>
      </c>
      <c r="E791" s="8" t="s">
        <v>5180</v>
      </c>
      <c r="F791" s="8" t="s">
        <v>5181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288</v>
      </c>
      <c r="L791" s="9">
        <v>2024</v>
      </c>
      <c r="M791" s="8" t="s">
        <v>5182</v>
      </c>
      <c r="N791" s="8" t="s">
        <v>41</v>
      </c>
      <c r="O791" s="8" t="s">
        <v>303</v>
      </c>
      <c r="P791" s="6" t="s">
        <v>43</v>
      </c>
      <c r="Q791" s="8" t="s">
        <v>44</v>
      </c>
      <c r="R791" s="10" t="s">
        <v>304</v>
      </c>
      <c r="S791" s="11" t="s">
        <v>305</v>
      </c>
      <c r="T791" s="6"/>
      <c r="U791" s="28" t="str">
        <f>HYPERLINK("https://media.infra-m.ru/2083/2083364/cover/2083364.jpg", "Обложка")</f>
        <v>Обложка</v>
      </c>
      <c r="V791" s="28" t="str">
        <f>HYPERLINK("https://znanium.ru/catalog/product/2083364", "Ознакомиться")</f>
        <v>Ознакомиться</v>
      </c>
      <c r="W791" s="8" t="s">
        <v>391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5183</v>
      </c>
      <c r="C792" s="7">
        <v>1777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38</v>
      </c>
      <c r="I792" s="8" t="s">
        <v>39</v>
      </c>
      <c r="J792" s="9">
        <v>1</v>
      </c>
      <c r="K792" s="9">
        <v>304</v>
      </c>
      <c r="L792" s="9">
        <v>2023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1187</v>
      </c>
      <c r="S792" s="11" t="s">
        <v>5188</v>
      </c>
      <c r="T792" s="6"/>
      <c r="U792" s="28" t="str">
        <f>HYPERLINK("https://media.infra-m.ru/2021/2021440/cover/2021440.jpg", "Обложка")</f>
        <v>Обложка</v>
      </c>
      <c r="V792" s="28" t="str">
        <f>HYPERLINK("https://znanium.ru/catalog/product/961647", "Ознакомиться")</f>
        <v>Ознакомиться</v>
      </c>
      <c r="W792" s="8" t="s">
        <v>5189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5190</v>
      </c>
      <c r="C793" s="13">
        <v>884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56</v>
      </c>
      <c r="J793" s="9">
        <v>1</v>
      </c>
      <c r="K793" s="9">
        <v>192</v>
      </c>
      <c r="L793" s="9">
        <v>2024</v>
      </c>
      <c r="M793" s="8" t="s">
        <v>5194</v>
      </c>
      <c r="N793" s="8" t="s">
        <v>68</v>
      </c>
      <c r="O793" s="8" t="s">
        <v>2754</v>
      </c>
      <c r="P793" s="6" t="s">
        <v>43</v>
      </c>
      <c r="Q793" s="8" t="s">
        <v>44</v>
      </c>
      <c r="R793" s="10" t="s">
        <v>4738</v>
      </c>
      <c r="S793" s="11" t="s">
        <v>101</v>
      </c>
      <c r="T793" s="6"/>
      <c r="U793" s="28" t="str">
        <f>HYPERLINK("https://media.infra-m.ru/2082/2082887/cover/2082887.jpg", "Обложка")</f>
        <v>Обложка</v>
      </c>
      <c r="V793" s="28" t="str">
        <f>HYPERLINK("https://znanium.ru/catalog/product/1218459", "Ознакомиться")</f>
        <v>Ознакомиться</v>
      </c>
      <c r="W793" s="8" t="s">
        <v>5195</v>
      </c>
      <c r="X793" s="6"/>
      <c r="Y793" s="6"/>
      <c r="Z793" s="6"/>
      <c r="AA793" s="6" t="s">
        <v>245</v>
      </c>
    </row>
    <row r="794" spans="1:27" s="4" customFormat="1" ht="51.95" customHeight="1">
      <c r="A794" s="5">
        <v>0</v>
      </c>
      <c r="B794" s="6" t="s">
        <v>5196</v>
      </c>
      <c r="C794" s="7">
        <v>1150</v>
      </c>
      <c r="D794" s="8" t="s">
        <v>5197</v>
      </c>
      <c r="E794" s="8" t="s">
        <v>5198</v>
      </c>
      <c r="F794" s="8" t="s">
        <v>3558</v>
      </c>
      <c r="G794" s="6" t="s">
        <v>66</v>
      </c>
      <c r="H794" s="6" t="s">
        <v>79</v>
      </c>
      <c r="I794" s="8" t="s">
        <v>39</v>
      </c>
      <c r="J794" s="9">
        <v>1</v>
      </c>
      <c r="K794" s="9">
        <v>255</v>
      </c>
      <c r="L794" s="9">
        <v>2023</v>
      </c>
      <c r="M794" s="8" t="s">
        <v>5199</v>
      </c>
      <c r="N794" s="8" t="s">
        <v>68</v>
      </c>
      <c r="O794" s="8" t="s">
        <v>69</v>
      </c>
      <c r="P794" s="6" t="s">
        <v>43</v>
      </c>
      <c r="Q794" s="8" t="s">
        <v>44</v>
      </c>
      <c r="R794" s="10" t="s">
        <v>3547</v>
      </c>
      <c r="S794" s="11" t="s">
        <v>2960</v>
      </c>
      <c r="T794" s="6"/>
      <c r="U794" s="28" t="str">
        <f>HYPERLINK("https://media.infra-m.ru/1931/1931473/cover/1931473.jpg", "Обложка")</f>
        <v>Обложка</v>
      </c>
      <c r="V794" s="28" t="str">
        <f>HYPERLINK("https://znanium.ru/catalog/product/1931473", "Ознакомиться")</f>
        <v>Ознакомиться</v>
      </c>
      <c r="W794" s="8" t="s">
        <v>3561</v>
      </c>
      <c r="X794" s="6"/>
      <c r="Y794" s="6"/>
      <c r="Z794" s="6" t="s">
        <v>687</v>
      </c>
      <c r="AA794" s="6" t="s">
        <v>5200</v>
      </c>
    </row>
    <row r="795" spans="1:27" s="4" customFormat="1" ht="42" customHeight="1">
      <c r="A795" s="5">
        <v>0</v>
      </c>
      <c r="B795" s="6" t="s">
        <v>5201</v>
      </c>
      <c r="C795" s="13">
        <v>780</v>
      </c>
      <c r="D795" s="8" t="s">
        <v>5202</v>
      </c>
      <c r="E795" s="8" t="s">
        <v>5203</v>
      </c>
      <c r="F795" s="8" t="s">
        <v>5204</v>
      </c>
      <c r="G795" s="6" t="s">
        <v>37</v>
      </c>
      <c r="H795" s="6" t="s">
        <v>79</v>
      </c>
      <c r="I795" s="8" t="s">
        <v>39</v>
      </c>
      <c r="J795" s="9">
        <v>1</v>
      </c>
      <c r="K795" s="9">
        <v>155</v>
      </c>
      <c r="L795" s="9">
        <v>2024</v>
      </c>
      <c r="M795" s="8" t="s">
        <v>5205</v>
      </c>
      <c r="N795" s="8" t="s">
        <v>118</v>
      </c>
      <c r="O795" s="8" t="s">
        <v>403</v>
      </c>
      <c r="P795" s="6" t="s">
        <v>43</v>
      </c>
      <c r="Q795" s="8" t="s">
        <v>44</v>
      </c>
      <c r="R795" s="10" t="s">
        <v>768</v>
      </c>
      <c r="S795" s="11"/>
      <c r="T795" s="6"/>
      <c r="U795" s="28" t="str">
        <f>HYPERLINK("https://media.infra-m.ru/2030/2030898/cover/2030898.jpg", "Обложка")</f>
        <v>Обложка</v>
      </c>
      <c r="V795" s="28" t="str">
        <f>HYPERLINK("https://znanium.ru/catalog/product/2030898", "Ознакомиться")</f>
        <v>Ознакомиться</v>
      </c>
      <c r="W795" s="8" t="s">
        <v>60</v>
      </c>
      <c r="X795" s="6" t="s">
        <v>616</v>
      </c>
      <c r="Y795" s="6"/>
      <c r="Z795" s="6"/>
      <c r="AA795" s="6" t="s">
        <v>339</v>
      </c>
    </row>
    <row r="796" spans="1:27" s="4" customFormat="1" ht="51.95" customHeight="1">
      <c r="A796" s="5">
        <v>0</v>
      </c>
      <c r="B796" s="6" t="s">
        <v>5206</v>
      </c>
      <c r="C796" s="7">
        <v>1960</v>
      </c>
      <c r="D796" s="8" t="s">
        <v>5207</v>
      </c>
      <c r="E796" s="8" t="s">
        <v>5208</v>
      </c>
      <c r="F796" s="8" t="s">
        <v>5209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541</v>
      </c>
      <c r="L796" s="9">
        <v>2021</v>
      </c>
      <c r="M796" s="8" t="s">
        <v>5210</v>
      </c>
      <c r="N796" s="8" t="s">
        <v>118</v>
      </c>
      <c r="O796" s="8" t="s">
        <v>403</v>
      </c>
      <c r="P796" s="6" t="s">
        <v>43</v>
      </c>
      <c r="Q796" s="8" t="s">
        <v>44</v>
      </c>
      <c r="R796" s="10" t="s">
        <v>768</v>
      </c>
      <c r="S796" s="11" t="s">
        <v>5211</v>
      </c>
      <c r="T796" s="6"/>
      <c r="U796" s="28" t="str">
        <f>HYPERLINK("https://media.infra-m.ru/1048/1048802/cover/1048802.jpg", "Обложка")</f>
        <v>Обложка</v>
      </c>
      <c r="V796" s="28" t="str">
        <f>HYPERLINK("https://znanium.ru/catalog/product/1048802", "Ознакомиться")</f>
        <v>Ознакомиться</v>
      </c>
      <c r="W796" s="8" t="s">
        <v>1084</v>
      </c>
      <c r="X796" s="6"/>
      <c r="Y796" s="6"/>
      <c r="Z796" s="6"/>
      <c r="AA796" s="6" t="s">
        <v>893</v>
      </c>
    </row>
    <row r="797" spans="1:27" s="4" customFormat="1" ht="51.95" customHeight="1">
      <c r="A797" s="5">
        <v>0</v>
      </c>
      <c r="B797" s="6" t="s">
        <v>5212</v>
      </c>
      <c r="C797" s="7">
        <v>1480</v>
      </c>
      <c r="D797" s="8" t="s">
        <v>5213</v>
      </c>
      <c r="E797" s="8" t="s">
        <v>5214</v>
      </c>
      <c r="F797" s="8" t="s">
        <v>5215</v>
      </c>
      <c r="G797" s="6" t="s">
        <v>66</v>
      </c>
      <c r="H797" s="6" t="s">
        <v>79</v>
      </c>
      <c r="I797" s="8" t="s">
        <v>39</v>
      </c>
      <c r="J797" s="9">
        <v>1</v>
      </c>
      <c r="K797" s="9">
        <v>352</v>
      </c>
      <c r="L797" s="9">
        <v>2022</v>
      </c>
      <c r="M797" s="8" t="s">
        <v>5216</v>
      </c>
      <c r="N797" s="8" t="s">
        <v>118</v>
      </c>
      <c r="O797" s="8" t="s">
        <v>403</v>
      </c>
      <c r="P797" s="6" t="s">
        <v>70</v>
      </c>
      <c r="Q797" s="8" t="s">
        <v>44</v>
      </c>
      <c r="R797" s="10" t="s">
        <v>768</v>
      </c>
      <c r="S797" s="11" t="s">
        <v>5217</v>
      </c>
      <c r="T797" s="6"/>
      <c r="U797" s="28" t="str">
        <f>HYPERLINK("https://media.infra-m.ru/1872/1872523/cover/1872523.jpg", "Обложка")</f>
        <v>Обложка</v>
      </c>
      <c r="V797" s="28" t="str">
        <f>HYPERLINK("https://znanium.ru/catalog/product/1872523", "Ознакомиться")</f>
        <v>Ознакомиться</v>
      </c>
      <c r="W797" s="8" t="s">
        <v>5218</v>
      </c>
      <c r="X797" s="6"/>
      <c r="Y797" s="6"/>
      <c r="Z797" s="6"/>
      <c r="AA797" s="6" t="s">
        <v>656</v>
      </c>
    </row>
    <row r="798" spans="1:27" s="4" customFormat="1" ht="51.95" customHeight="1">
      <c r="A798" s="5">
        <v>0</v>
      </c>
      <c r="B798" s="6" t="s">
        <v>5219</v>
      </c>
      <c r="C798" s="7">
        <v>1210</v>
      </c>
      <c r="D798" s="8" t="s">
        <v>5220</v>
      </c>
      <c r="E798" s="8" t="s">
        <v>5221</v>
      </c>
      <c r="F798" s="8" t="s">
        <v>1088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319</v>
      </c>
      <c r="L798" s="9">
        <v>2022</v>
      </c>
      <c r="M798" s="8" t="s">
        <v>5222</v>
      </c>
      <c r="N798" s="8" t="s">
        <v>118</v>
      </c>
      <c r="O798" s="8" t="s">
        <v>403</v>
      </c>
      <c r="P798" s="6" t="s">
        <v>70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HYPERLINK("https://media.infra-m.ru/1854/1854213/cover/1854213.jpg", "Обложка")</f>
        <v>Обложка</v>
      </c>
      <c r="V798" s="28" t="str">
        <f>HYPERLINK("https://znanium.ru/catalog/product/1854213", "Ознакомиться")</f>
        <v>Ознакомиться</v>
      </c>
      <c r="W798" s="8" t="s">
        <v>172</v>
      </c>
      <c r="X798" s="6"/>
      <c r="Y798" s="6"/>
      <c r="Z798" s="6"/>
      <c r="AA798" s="6" t="s">
        <v>94</v>
      </c>
    </row>
    <row r="799" spans="1:27" s="4" customFormat="1" ht="51.95" customHeight="1">
      <c r="A799" s="5">
        <v>0</v>
      </c>
      <c r="B799" s="6" t="s">
        <v>5224</v>
      </c>
      <c r="C799" s="7">
        <v>1130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241</v>
      </c>
      <c r="L799" s="9">
        <v>2024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HYPERLINK("https://media.infra-m.ru/2123/2123905/cover/2123905.jpg", "Обложка")</f>
        <v>Обложка</v>
      </c>
      <c r="V799" s="28" t="str">
        <f>HYPERLINK("https://znanium.ru/catalog/product/2123905", "Ознакомиться")</f>
        <v>Ознакомиться</v>
      </c>
      <c r="W799" s="8" t="s">
        <v>172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5230</v>
      </c>
      <c r="C800" s="13">
        <v>824</v>
      </c>
      <c r="D800" s="8" t="s">
        <v>5231</v>
      </c>
      <c r="E800" s="8" t="s">
        <v>5232</v>
      </c>
      <c r="F800" s="8" t="s">
        <v>3958</v>
      </c>
      <c r="G800" s="6" t="s">
        <v>54</v>
      </c>
      <c r="H800" s="6" t="s">
        <v>38</v>
      </c>
      <c r="I800" s="8" t="s">
        <v>56</v>
      </c>
      <c r="J800" s="9">
        <v>1</v>
      </c>
      <c r="K800" s="9">
        <v>176</v>
      </c>
      <c r="L800" s="9">
        <v>2024</v>
      </c>
      <c r="M800" s="8" t="s">
        <v>5233</v>
      </c>
      <c r="N800" s="8" t="s">
        <v>118</v>
      </c>
      <c r="O800" s="8" t="s">
        <v>119</v>
      </c>
      <c r="P800" s="6" t="s">
        <v>43</v>
      </c>
      <c r="Q800" s="8" t="s">
        <v>44</v>
      </c>
      <c r="R800" s="10" t="s">
        <v>5234</v>
      </c>
      <c r="S800" s="11" t="s">
        <v>260</v>
      </c>
      <c r="T800" s="6"/>
      <c r="U800" s="28" t="str">
        <f>HYPERLINK("https://media.infra-m.ru/2121/2121223/cover/2121223.jpg", "Обложка")</f>
        <v>Обложка</v>
      </c>
      <c r="V800" s="28" t="str">
        <f>HYPERLINK("https://znanium.ru/catalog/product/1815943", "Ознакомиться")</f>
        <v>Ознакомиться</v>
      </c>
      <c r="W800" s="8" t="s">
        <v>3961</v>
      </c>
      <c r="X800" s="6"/>
      <c r="Y800" s="6" t="s">
        <v>30</v>
      </c>
      <c r="Z800" s="6"/>
      <c r="AA800" s="6" t="s">
        <v>103</v>
      </c>
    </row>
    <row r="801" spans="1:27" s="4" customFormat="1" ht="51.95" customHeight="1">
      <c r="A801" s="5">
        <v>0</v>
      </c>
      <c r="B801" s="6" t="s">
        <v>5235</v>
      </c>
      <c r="C801" s="13">
        <v>740</v>
      </c>
      <c r="D801" s="8" t="s">
        <v>5236</v>
      </c>
      <c r="E801" s="8" t="s">
        <v>5237</v>
      </c>
      <c r="F801" s="8" t="s">
        <v>5238</v>
      </c>
      <c r="G801" s="6" t="s">
        <v>66</v>
      </c>
      <c r="H801" s="6" t="s">
        <v>38</v>
      </c>
      <c r="I801" s="8" t="s">
        <v>39</v>
      </c>
      <c r="J801" s="9">
        <v>1</v>
      </c>
      <c r="K801" s="9">
        <v>160</v>
      </c>
      <c r="L801" s="9">
        <v>2024</v>
      </c>
      <c r="M801" s="8" t="s">
        <v>5239</v>
      </c>
      <c r="N801" s="8" t="s">
        <v>1171</v>
      </c>
      <c r="O801" s="8" t="s">
        <v>1172</v>
      </c>
      <c r="P801" s="6" t="s">
        <v>1157</v>
      </c>
      <c r="Q801" s="8" t="s">
        <v>44</v>
      </c>
      <c r="R801" s="10" t="s">
        <v>2788</v>
      </c>
      <c r="S801" s="11" t="s">
        <v>5240</v>
      </c>
      <c r="T801" s="6"/>
      <c r="U801" s="28" t="str">
        <f>HYPERLINK("https://media.infra-m.ru/2078/2078396/cover/2078396.jpg", "Обложка")</f>
        <v>Обложка</v>
      </c>
      <c r="V801" s="28" t="str">
        <f>HYPERLINK("https://znanium.ru/catalog/product/2078396", "Ознакомиться")</f>
        <v>Ознакомиться</v>
      </c>
      <c r="W801" s="8" t="s">
        <v>2782</v>
      </c>
      <c r="X801" s="6"/>
      <c r="Y801" s="6"/>
      <c r="Z801" s="6" t="s">
        <v>48</v>
      </c>
      <c r="AA801" s="6" t="s">
        <v>656</v>
      </c>
    </row>
    <row r="802" spans="1:27" s="4" customFormat="1" ht="51.95" customHeight="1">
      <c r="A802" s="5">
        <v>0</v>
      </c>
      <c r="B802" s="6" t="s">
        <v>5241</v>
      </c>
      <c r="C802" s="7">
        <v>1664</v>
      </c>
      <c r="D802" s="8" t="s">
        <v>5242</v>
      </c>
      <c r="E802" s="8" t="s">
        <v>5243</v>
      </c>
      <c r="F802" s="8" t="s">
        <v>5244</v>
      </c>
      <c r="G802" s="6" t="s">
        <v>66</v>
      </c>
      <c r="H802" s="6" t="s">
        <v>79</v>
      </c>
      <c r="I802" s="8" t="s">
        <v>4636</v>
      </c>
      <c r="J802" s="9">
        <v>1</v>
      </c>
      <c r="K802" s="9">
        <v>354</v>
      </c>
      <c r="L802" s="9">
        <v>2024</v>
      </c>
      <c r="M802" s="8" t="s">
        <v>5245</v>
      </c>
      <c r="N802" s="8" t="s">
        <v>41</v>
      </c>
      <c r="O802" s="8" t="s">
        <v>160</v>
      </c>
      <c r="P802" s="6" t="s">
        <v>43</v>
      </c>
      <c r="Q802" s="8" t="s">
        <v>44</v>
      </c>
      <c r="R802" s="10" t="s">
        <v>2384</v>
      </c>
      <c r="S802" s="11" t="s">
        <v>3389</v>
      </c>
      <c r="T802" s="6"/>
      <c r="U802" s="28" t="str">
        <f>HYPERLINK("https://media.infra-m.ru/2136/2136961/cover/2136961.jpg", "Обложка")</f>
        <v>Обложка</v>
      </c>
      <c r="V802" s="12"/>
      <c r="W802" s="8" t="s">
        <v>2599</v>
      </c>
      <c r="X802" s="6"/>
      <c r="Y802" s="6"/>
      <c r="Z802" s="6" t="s">
        <v>48</v>
      </c>
      <c r="AA802" s="6" t="s">
        <v>656</v>
      </c>
    </row>
    <row r="803" spans="1:27" s="4" customFormat="1" ht="44.1" customHeight="1">
      <c r="A803" s="5">
        <v>0</v>
      </c>
      <c r="B803" s="6" t="s">
        <v>5246</v>
      </c>
      <c r="C803" s="7">
        <v>1230</v>
      </c>
      <c r="D803" s="8" t="s">
        <v>5247</v>
      </c>
      <c r="E803" s="8" t="s">
        <v>5248</v>
      </c>
      <c r="F803" s="8" t="s">
        <v>5249</v>
      </c>
      <c r="G803" s="6" t="s">
        <v>66</v>
      </c>
      <c r="H803" s="6" t="s">
        <v>716</v>
      </c>
      <c r="I803" s="8" t="s">
        <v>39</v>
      </c>
      <c r="J803" s="9">
        <v>1</v>
      </c>
      <c r="K803" s="9">
        <v>271</v>
      </c>
      <c r="L803" s="9">
        <v>2023</v>
      </c>
      <c r="M803" s="8" t="s">
        <v>5250</v>
      </c>
      <c r="N803" s="8" t="s">
        <v>41</v>
      </c>
      <c r="O803" s="8" t="s">
        <v>209</v>
      </c>
      <c r="P803" s="6" t="s">
        <v>70</v>
      </c>
      <c r="Q803" s="8" t="s">
        <v>44</v>
      </c>
      <c r="R803" s="10" t="s">
        <v>5251</v>
      </c>
      <c r="S803" s="11"/>
      <c r="T803" s="6"/>
      <c r="U803" s="28" t="str">
        <f>HYPERLINK("https://media.infra-m.ru/1912/1912895/cover/1912895.jpg", "Обложка")</f>
        <v>Обложка</v>
      </c>
      <c r="V803" s="28" t="str">
        <f>HYPERLINK("https://znanium.ru/catalog/product/1912895", "Ознакомиться")</f>
        <v>Ознакомиться</v>
      </c>
      <c r="W803" s="8" t="s">
        <v>2077</v>
      </c>
      <c r="X803" s="6"/>
      <c r="Y803" s="6"/>
      <c r="Z803" s="6"/>
      <c r="AA803" s="6" t="s">
        <v>671</v>
      </c>
    </row>
    <row r="804" spans="1:27" s="4" customFormat="1" ht="51.95" customHeight="1">
      <c r="A804" s="5">
        <v>0</v>
      </c>
      <c r="B804" s="6" t="s">
        <v>5252</v>
      </c>
      <c r="C804" s="7">
        <v>1514</v>
      </c>
      <c r="D804" s="8" t="s">
        <v>5253</v>
      </c>
      <c r="E804" s="8" t="s">
        <v>5254</v>
      </c>
      <c r="F804" s="8" t="s">
        <v>5255</v>
      </c>
      <c r="G804" s="6" t="s">
        <v>37</v>
      </c>
      <c r="H804" s="6" t="s">
        <v>283</v>
      </c>
      <c r="I804" s="8" t="s">
        <v>39</v>
      </c>
      <c r="J804" s="9">
        <v>1</v>
      </c>
      <c r="K804" s="9">
        <v>335</v>
      </c>
      <c r="L804" s="9">
        <v>2023</v>
      </c>
      <c r="M804" s="8" t="s">
        <v>5256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5257</v>
      </c>
      <c r="S804" s="11" t="s">
        <v>835</v>
      </c>
      <c r="T804" s="6"/>
      <c r="U804" s="28" t="str">
        <f>HYPERLINK("https://media.infra-m.ru/2045/2045975/cover/2045975.jpg", "Обложка")</f>
        <v>Обложка</v>
      </c>
      <c r="V804" s="28" t="str">
        <f>HYPERLINK("https://znanium.ru/catalog/product/1189340", "Ознакомиться")</f>
        <v>Ознакомиться</v>
      </c>
      <c r="W804" s="8" t="s">
        <v>726</v>
      </c>
      <c r="X804" s="6"/>
      <c r="Y804" s="6"/>
      <c r="Z804" s="6" t="s">
        <v>48</v>
      </c>
      <c r="AA804" s="6" t="s">
        <v>656</v>
      </c>
    </row>
    <row r="805" spans="1:27" s="4" customFormat="1" ht="51.95" customHeight="1">
      <c r="A805" s="5">
        <v>0</v>
      </c>
      <c r="B805" s="6" t="s">
        <v>5258</v>
      </c>
      <c r="C805" s="7">
        <v>1220</v>
      </c>
      <c r="D805" s="8" t="s">
        <v>5259</v>
      </c>
      <c r="E805" s="8" t="s">
        <v>5260</v>
      </c>
      <c r="F805" s="8" t="s">
        <v>5261</v>
      </c>
      <c r="G805" s="6" t="s">
        <v>37</v>
      </c>
      <c r="H805" s="6" t="s">
        <v>283</v>
      </c>
      <c r="I805" s="8" t="s">
        <v>39</v>
      </c>
      <c r="J805" s="9">
        <v>1</v>
      </c>
      <c r="K805" s="9">
        <v>320</v>
      </c>
      <c r="L805" s="9">
        <v>2022</v>
      </c>
      <c r="M805" s="8" t="s">
        <v>5262</v>
      </c>
      <c r="N805" s="8" t="s">
        <v>41</v>
      </c>
      <c r="O805" s="8" t="s">
        <v>42</v>
      </c>
      <c r="P805" s="6" t="s">
        <v>43</v>
      </c>
      <c r="Q805" s="8" t="s">
        <v>44</v>
      </c>
      <c r="R805" s="10" t="s">
        <v>429</v>
      </c>
      <c r="S805" s="11" t="s">
        <v>5263</v>
      </c>
      <c r="T805" s="6"/>
      <c r="U805" s="28" t="str">
        <f>HYPERLINK("https://media.infra-m.ru/1862/1862906/cover/1862906.jpg", "Обложка")</f>
        <v>Обложка</v>
      </c>
      <c r="V805" s="28" t="str">
        <f>HYPERLINK("https://znanium.ru/catalog/product/1862906", "Ознакомиться")</f>
        <v>Ознакомиться</v>
      </c>
      <c r="W805" s="8" t="s">
        <v>1922</v>
      </c>
      <c r="X805" s="6"/>
      <c r="Y805" s="6"/>
      <c r="Z805" s="6" t="s">
        <v>48</v>
      </c>
      <c r="AA805" s="6" t="s">
        <v>1990</v>
      </c>
    </row>
    <row r="806" spans="1:27" s="4" customFormat="1" ht="51.95" customHeight="1">
      <c r="A806" s="5">
        <v>0</v>
      </c>
      <c r="B806" s="6" t="s">
        <v>5264</v>
      </c>
      <c r="C806" s="7">
        <v>1967</v>
      </c>
      <c r="D806" s="8" t="s">
        <v>5265</v>
      </c>
      <c r="E806" s="8" t="s">
        <v>5266</v>
      </c>
      <c r="F806" s="8" t="s">
        <v>1179</v>
      </c>
      <c r="G806" s="6" t="s">
        <v>66</v>
      </c>
      <c r="H806" s="6" t="s">
        <v>38</v>
      </c>
      <c r="I806" s="8" t="s">
        <v>39</v>
      </c>
      <c r="J806" s="9">
        <v>1</v>
      </c>
      <c r="K806" s="9">
        <v>336</v>
      </c>
      <c r="L806" s="9">
        <v>2023</v>
      </c>
      <c r="M806" s="8" t="s">
        <v>5267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145</v>
      </c>
      <c r="S806" s="11" t="s">
        <v>847</v>
      </c>
      <c r="T806" s="6"/>
      <c r="U806" s="28" t="str">
        <f>HYPERLINK("https://media.infra-m.ru/2021/2021441/cover/2021441.jpg", "Обложка")</f>
        <v>Обложка</v>
      </c>
      <c r="V806" s="28" t="str">
        <f>HYPERLINK("https://znanium.ru/catalog/product/1216485", "Ознакомиться")</f>
        <v>Ознакомиться</v>
      </c>
      <c r="W806" s="8" t="s">
        <v>1182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5268</v>
      </c>
      <c r="C807" s="7">
        <v>2230</v>
      </c>
      <c r="D807" s="8" t="s">
        <v>5269</v>
      </c>
      <c r="E807" s="8" t="s">
        <v>5270</v>
      </c>
      <c r="F807" s="8" t="s">
        <v>5271</v>
      </c>
      <c r="G807" s="6" t="s">
        <v>66</v>
      </c>
      <c r="H807" s="6" t="s">
        <v>283</v>
      </c>
      <c r="I807" s="8" t="s">
        <v>39</v>
      </c>
      <c r="J807" s="9">
        <v>1</v>
      </c>
      <c r="K807" s="9">
        <v>496</v>
      </c>
      <c r="L807" s="9">
        <v>2023</v>
      </c>
      <c r="M807" s="8" t="s">
        <v>5272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5273</v>
      </c>
      <c r="S807" s="11" t="s">
        <v>5274</v>
      </c>
      <c r="T807" s="6" t="s">
        <v>110</v>
      </c>
      <c r="U807" s="28" t="str">
        <f>HYPERLINK("https://media.infra-m.ru/1916/1916203/cover/1916203.jpg", "Обложка")</f>
        <v>Обложка</v>
      </c>
      <c r="V807" s="28" t="str">
        <f>HYPERLINK("https://znanium.ru/catalog/product/1916203", "Ознакомиться")</f>
        <v>Ознакомиться</v>
      </c>
      <c r="W807" s="8" t="s">
        <v>2378</v>
      </c>
      <c r="X807" s="6"/>
      <c r="Y807" s="6"/>
      <c r="Z807" s="6"/>
      <c r="AA807" s="6" t="s">
        <v>103</v>
      </c>
    </row>
    <row r="808" spans="1:27" s="4" customFormat="1" ht="51.95" customHeight="1">
      <c r="A808" s="5">
        <v>0</v>
      </c>
      <c r="B808" s="6" t="s">
        <v>5275</v>
      </c>
      <c r="C808" s="7">
        <v>2224</v>
      </c>
      <c r="D808" s="8" t="s">
        <v>5276</v>
      </c>
      <c r="E808" s="8" t="s">
        <v>5277</v>
      </c>
      <c r="F808" s="8" t="s">
        <v>4117</v>
      </c>
      <c r="G808" s="6" t="s">
        <v>37</v>
      </c>
      <c r="H808" s="6" t="s">
        <v>38</v>
      </c>
      <c r="I808" s="8" t="s">
        <v>56</v>
      </c>
      <c r="J808" s="9">
        <v>1</v>
      </c>
      <c r="K808" s="9">
        <v>496</v>
      </c>
      <c r="L808" s="9">
        <v>2024</v>
      </c>
      <c r="M808" s="8" t="s">
        <v>5278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2051</v>
      </c>
      <c r="S808" s="11"/>
      <c r="T808" s="6"/>
      <c r="U808" s="28" t="str">
        <f>HYPERLINK("https://media.infra-m.ru/2056/2056798/cover/2056798.jpg", "Обложка")</f>
        <v>Обложка</v>
      </c>
      <c r="V808" s="12"/>
      <c r="W808" s="8" t="s">
        <v>710</v>
      </c>
      <c r="X808" s="6"/>
      <c r="Y808" s="6"/>
      <c r="Z808" s="6"/>
      <c r="AA808" s="6" t="s">
        <v>288</v>
      </c>
    </row>
    <row r="809" spans="1:27" s="4" customFormat="1" ht="51.95" customHeight="1">
      <c r="A809" s="5">
        <v>0</v>
      </c>
      <c r="B809" s="6" t="s">
        <v>5279</v>
      </c>
      <c r="C809" s="13">
        <v>922</v>
      </c>
      <c r="D809" s="8" t="s">
        <v>5280</v>
      </c>
      <c r="E809" s="8" t="s">
        <v>5281</v>
      </c>
      <c r="F809" s="8" t="s">
        <v>4492</v>
      </c>
      <c r="G809" s="6" t="s">
        <v>54</v>
      </c>
      <c r="H809" s="6" t="s">
        <v>38</v>
      </c>
      <c r="I809" s="8" t="s">
        <v>39</v>
      </c>
      <c r="J809" s="9">
        <v>1</v>
      </c>
      <c r="K809" s="9">
        <v>143</v>
      </c>
      <c r="L809" s="9">
        <v>2024</v>
      </c>
      <c r="M809" s="8" t="s">
        <v>5282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59</v>
      </c>
      <c r="S809" s="11" t="s">
        <v>5283</v>
      </c>
      <c r="T809" s="6"/>
      <c r="U809" s="28" t="str">
        <f>HYPERLINK("https://media.infra-m.ru/2137/2137197/cover/2137197.jpg", "Обложка")</f>
        <v>Обложка</v>
      </c>
      <c r="V809" s="28" t="str">
        <f>HYPERLINK("https://znanium.ru/catalog/product/2137197", "Ознакомиться")</f>
        <v>Ознакомиться</v>
      </c>
      <c r="W809" s="8" t="s">
        <v>2393</v>
      </c>
      <c r="X809" s="6"/>
      <c r="Y809" s="6"/>
      <c r="Z809" s="6" t="s">
        <v>48</v>
      </c>
      <c r="AA809" s="6" t="s">
        <v>656</v>
      </c>
    </row>
    <row r="810" spans="1:27" s="4" customFormat="1" ht="51.95" customHeight="1">
      <c r="A810" s="5">
        <v>0</v>
      </c>
      <c r="B810" s="6" t="s">
        <v>5284</v>
      </c>
      <c r="C810" s="7">
        <v>2360</v>
      </c>
      <c r="D810" s="8" t="s">
        <v>5285</v>
      </c>
      <c r="E810" s="8" t="s">
        <v>5286</v>
      </c>
      <c r="F810" s="8" t="s">
        <v>5287</v>
      </c>
      <c r="G810" s="6" t="s">
        <v>37</v>
      </c>
      <c r="H810" s="6" t="s">
        <v>283</v>
      </c>
      <c r="I810" s="8" t="s">
        <v>56</v>
      </c>
      <c r="J810" s="9">
        <v>1</v>
      </c>
      <c r="K810" s="9">
        <v>512</v>
      </c>
      <c r="L810" s="9">
        <v>2024</v>
      </c>
      <c r="M810" s="8" t="s">
        <v>5288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5289</v>
      </c>
      <c r="S810" s="11" t="s">
        <v>5290</v>
      </c>
      <c r="T810" s="6" t="s">
        <v>110</v>
      </c>
      <c r="U810" s="28" t="str">
        <f>HYPERLINK("https://media.infra-m.ru/2083/2083383/cover/2083383.jpg", "Обложка")</f>
        <v>Обложка</v>
      </c>
      <c r="V810" s="28" t="str">
        <f>HYPERLINK("https://znanium.ru/catalog/product/2083383", "Ознакомиться")</f>
        <v>Ознакомиться</v>
      </c>
      <c r="W810" s="8" t="s">
        <v>2378</v>
      </c>
      <c r="X810" s="6"/>
      <c r="Y810" s="6"/>
      <c r="Z810" s="6"/>
      <c r="AA810" s="6" t="s">
        <v>245</v>
      </c>
    </row>
    <row r="811" spans="1:27" s="4" customFormat="1" ht="51.95" customHeight="1">
      <c r="A811" s="5">
        <v>0</v>
      </c>
      <c r="B811" s="6" t="s">
        <v>5291</v>
      </c>
      <c r="C811" s="7">
        <v>1720</v>
      </c>
      <c r="D811" s="8" t="s">
        <v>5292</v>
      </c>
      <c r="E811" s="8" t="s">
        <v>5293</v>
      </c>
      <c r="F811" s="8" t="s">
        <v>5294</v>
      </c>
      <c r="G811" s="6" t="s">
        <v>66</v>
      </c>
      <c r="H811" s="6" t="s">
        <v>79</v>
      </c>
      <c r="I811" s="8" t="s">
        <v>39</v>
      </c>
      <c r="J811" s="9">
        <v>1</v>
      </c>
      <c r="K811" s="9">
        <v>365</v>
      </c>
      <c r="L811" s="9">
        <v>2024</v>
      </c>
      <c r="M811" s="8" t="s">
        <v>5295</v>
      </c>
      <c r="N811" s="8" t="s">
        <v>41</v>
      </c>
      <c r="O811" s="8" t="s">
        <v>209</v>
      </c>
      <c r="P811" s="6" t="s">
        <v>70</v>
      </c>
      <c r="Q811" s="8" t="s">
        <v>44</v>
      </c>
      <c r="R811" s="10" t="s">
        <v>5296</v>
      </c>
      <c r="S811" s="11" t="s">
        <v>5297</v>
      </c>
      <c r="T811" s="6" t="s">
        <v>110</v>
      </c>
      <c r="U811" s="28" t="str">
        <f>HYPERLINK("https://media.infra-m.ru/2136/2136002/cover/2136002.jpg", "Обложка")</f>
        <v>Обложка</v>
      </c>
      <c r="V811" s="28" t="str">
        <f>HYPERLINK("https://znanium.ru/catalog/product/2136002", "Ознакомиться")</f>
        <v>Ознакомиться</v>
      </c>
      <c r="W811" s="8" t="s">
        <v>5298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5299</v>
      </c>
      <c r="C812" s="7">
        <v>1660</v>
      </c>
      <c r="D812" s="8" t="s">
        <v>5300</v>
      </c>
      <c r="E812" s="8" t="s">
        <v>5301</v>
      </c>
      <c r="F812" s="8" t="s">
        <v>3769</v>
      </c>
      <c r="G812" s="6" t="s">
        <v>66</v>
      </c>
      <c r="H812" s="6" t="s">
        <v>38</v>
      </c>
      <c r="I812" s="8" t="s">
        <v>39</v>
      </c>
      <c r="J812" s="9">
        <v>1</v>
      </c>
      <c r="K812" s="9">
        <v>352</v>
      </c>
      <c r="L812" s="9">
        <v>2024</v>
      </c>
      <c r="M812" s="8" t="s">
        <v>5302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59</v>
      </c>
      <c r="S812" s="11" t="s">
        <v>5303</v>
      </c>
      <c r="T812" s="6"/>
      <c r="U812" s="28" t="str">
        <f>HYPERLINK("https://media.infra-m.ru/2150/2150738/cover/2150738.jpg", "Обложка")</f>
        <v>Обложка</v>
      </c>
      <c r="V812" s="28" t="str">
        <f>HYPERLINK("https://znanium.ru/catalog/product/2150738", "Ознакомиться")</f>
        <v>Ознакомиться</v>
      </c>
      <c r="W812" s="8" t="s">
        <v>1779</v>
      </c>
      <c r="X812" s="6"/>
      <c r="Y812" s="6"/>
      <c r="Z812" s="6" t="s">
        <v>48</v>
      </c>
      <c r="AA812" s="6" t="s">
        <v>61</v>
      </c>
    </row>
    <row r="813" spans="1:27" s="4" customFormat="1" ht="51.95" customHeight="1">
      <c r="A813" s="5">
        <v>0</v>
      </c>
      <c r="B813" s="6" t="s">
        <v>5304</v>
      </c>
      <c r="C813" s="13">
        <v>650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145</v>
      </c>
      <c r="L813" s="9">
        <v>2023</v>
      </c>
      <c r="M813" s="8" t="s">
        <v>5308</v>
      </c>
      <c r="N813" s="8" t="s">
        <v>41</v>
      </c>
      <c r="O813" s="8" t="s">
        <v>42</v>
      </c>
      <c r="P813" s="6" t="s">
        <v>43</v>
      </c>
      <c r="Q813" s="8" t="s">
        <v>44</v>
      </c>
      <c r="R813" s="10" t="s">
        <v>725</v>
      </c>
      <c r="S813" s="11" t="s">
        <v>5309</v>
      </c>
      <c r="T813" s="6"/>
      <c r="U813" s="28" t="str">
        <f>HYPERLINK("https://media.infra-m.ru/1878/1878635/cover/1878635.jpg", "Обложка")</f>
        <v>Обложка</v>
      </c>
      <c r="V813" s="28" t="str">
        <f>HYPERLINK("https://znanium.ru/catalog/product/1878635", "Ознакомиться")</f>
        <v>Ознакомиться</v>
      </c>
      <c r="W813" s="8" t="s">
        <v>1731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5310</v>
      </c>
      <c r="C814" s="13">
        <v>740</v>
      </c>
      <c r="D814" s="8" t="s">
        <v>5311</v>
      </c>
      <c r="E814" s="8" t="s">
        <v>5312</v>
      </c>
      <c r="F814" s="8" t="s">
        <v>5313</v>
      </c>
      <c r="G814" s="6" t="s">
        <v>54</v>
      </c>
      <c r="H814" s="6" t="s">
        <v>79</v>
      </c>
      <c r="I814" s="8" t="s">
        <v>39</v>
      </c>
      <c r="J814" s="9">
        <v>1</v>
      </c>
      <c r="K814" s="9">
        <v>158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145</v>
      </c>
      <c r="S814" s="11" t="s">
        <v>5315</v>
      </c>
      <c r="T814" s="6"/>
      <c r="U814" s="28" t="str">
        <f>HYPERLINK("https://media.infra-m.ru/2111/2111926/cover/2111926.jpg", "Обложка")</f>
        <v>Обложка</v>
      </c>
      <c r="V814" s="28" t="str">
        <f>HYPERLINK("https://znanium.ru/catalog/product/2111926", "Ознакомиться")</f>
        <v>Ознакомиться</v>
      </c>
      <c r="W814" s="8" t="s">
        <v>1971</v>
      </c>
      <c r="X814" s="6"/>
      <c r="Y814" s="6"/>
      <c r="Z814" s="6"/>
      <c r="AA814" s="6" t="s">
        <v>414</v>
      </c>
    </row>
    <row r="815" spans="1:27" s="4" customFormat="1" ht="51.95" customHeight="1">
      <c r="A815" s="5">
        <v>0</v>
      </c>
      <c r="B815" s="6" t="s">
        <v>5316</v>
      </c>
      <c r="C815" s="13">
        <v>350</v>
      </c>
      <c r="D815" s="8" t="s">
        <v>5317</v>
      </c>
      <c r="E815" s="8" t="s">
        <v>5318</v>
      </c>
      <c r="F815" s="8" t="s">
        <v>5313</v>
      </c>
      <c r="G815" s="6" t="s">
        <v>54</v>
      </c>
      <c r="H815" s="6" t="s">
        <v>79</v>
      </c>
      <c r="I815" s="8" t="s">
        <v>39</v>
      </c>
      <c r="J815" s="9">
        <v>1</v>
      </c>
      <c r="K815" s="9">
        <v>117</v>
      </c>
      <c r="L815" s="9">
        <v>2019</v>
      </c>
      <c r="M815" s="8" t="s">
        <v>5319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145</v>
      </c>
      <c r="S815" s="11" t="s">
        <v>5320</v>
      </c>
      <c r="T815" s="6"/>
      <c r="U815" s="28" t="str">
        <f>HYPERLINK("https://media.infra-m.ru/0989/0989894/cover/989894.jpg", "Обложка")</f>
        <v>Обложка</v>
      </c>
      <c r="V815" s="28" t="str">
        <f>HYPERLINK("https://znanium.ru/catalog/product/2111926", "Ознакомиться")</f>
        <v>Ознакомиться</v>
      </c>
      <c r="W815" s="8" t="s">
        <v>1971</v>
      </c>
      <c r="X815" s="6"/>
      <c r="Y815" s="6"/>
      <c r="Z815" s="6"/>
      <c r="AA815" s="6" t="s">
        <v>245</v>
      </c>
    </row>
    <row r="816" spans="1:27" s="4" customFormat="1" ht="51.95" customHeight="1">
      <c r="A816" s="5">
        <v>0</v>
      </c>
      <c r="B816" s="6" t="s">
        <v>5321</v>
      </c>
      <c r="C816" s="7">
        <v>2014.9</v>
      </c>
      <c r="D816" s="8" t="s">
        <v>5322</v>
      </c>
      <c r="E816" s="8" t="s">
        <v>5323</v>
      </c>
      <c r="F816" s="8" t="s">
        <v>5324</v>
      </c>
      <c r="G816" s="6" t="s">
        <v>37</v>
      </c>
      <c r="H816" s="6" t="s">
        <v>38</v>
      </c>
      <c r="I816" s="8" t="s">
        <v>56</v>
      </c>
      <c r="J816" s="9">
        <v>1</v>
      </c>
      <c r="K816" s="9">
        <v>448</v>
      </c>
      <c r="L816" s="9">
        <v>2023</v>
      </c>
      <c r="M816" s="8" t="s">
        <v>5325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5326</v>
      </c>
      <c r="S816" s="11" t="s">
        <v>5327</v>
      </c>
      <c r="T816" s="6"/>
      <c r="U816" s="28" t="str">
        <f>HYPERLINK("https://media.infra-m.ru/1911/1911449/cover/1911449.jpg", "Обложка")</f>
        <v>Обложка</v>
      </c>
      <c r="V816" s="28" t="str">
        <f>HYPERLINK("https://znanium.ru/catalog/product/1189345", "Ознакомиться")</f>
        <v>Ознакомиться</v>
      </c>
      <c r="W816" s="8" t="s">
        <v>710</v>
      </c>
      <c r="X816" s="6"/>
      <c r="Y816" s="6"/>
      <c r="Z816" s="6"/>
      <c r="AA816" s="6" t="s">
        <v>5328</v>
      </c>
    </row>
    <row r="817" spans="1:27" s="4" customFormat="1" ht="51.95" customHeight="1">
      <c r="A817" s="5">
        <v>0</v>
      </c>
      <c r="B817" s="6" t="s">
        <v>5329</v>
      </c>
      <c r="C817" s="13">
        <v>720</v>
      </c>
      <c r="D817" s="8" t="s">
        <v>5330</v>
      </c>
      <c r="E817" s="8" t="s">
        <v>5331</v>
      </c>
      <c r="F817" s="8" t="s">
        <v>825</v>
      </c>
      <c r="G817" s="6" t="s">
        <v>66</v>
      </c>
      <c r="H817" s="6" t="s">
        <v>283</v>
      </c>
      <c r="I817" s="8" t="s">
        <v>39</v>
      </c>
      <c r="J817" s="9">
        <v>1</v>
      </c>
      <c r="K817" s="9">
        <v>160</v>
      </c>
      <c r="L817" s="9">
        <v>2023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HYPERLINK("https://media.infra-m.ru/1926/1926394/cover/1926394.jpg", "Обложка")</f>
        <v>Обложка</v>
      </c>
      <c r="V817" s="28" t="str">
        <f>HYPERLINK("https://znanium.ru/catalog/product/1926394", "Ознакомиться")</f>
        <v>Ознакомиться</v>
      </c>
      <c r="W817" s="8" t="s">
        <v>829</v>
      </c>
      <c r="X817" s="6"/>
      <c r="Y817" s="6"/>
      <c r="Z817" s="6" t="s">
        <v>48</v>
      </c>
      <c r="AA817" s="6" t="s">
        <v>122</v>
      </c>
    </row>
    <row r="818" spans="1:27" s="4" customFormat="1" ht="51.95" customHeight="1">
      <c r="A818" s="5">
        <v>0</v>
      </c>
      <c r="B818" s="6" t="s">
        <v>5334</v>
      </c>
      <c r="C818" s="13">
        <v>980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283</v>
      </c>
      <c r="I818" s="8" t="s">
        <v>39</v>
      </c>
      <c r="J818" s="14">
        <v>0</v>
      </c>
      <c r="K818" s="9">
        <v>336</v>
      </c>
      <c r="L818" s="9">
        <v>2018</v>
      </c>
      <c r="M818" s="8" t="s">
        <v>5338</v>
      </c>
      <c r="N818" s="8" t="s">
        <v>41</v>
      </c>
      <c r="O818" s="8" t="s">
        <v>160</v>
      </c>
      <c r="P818" s="6" t="s">
        <v>43</v>
      </c>
      <c r="Q818" s="8" t="s">
        <v>44</v>
      </c>
      <c r="R818" s="10"/>
      <c r="S818" s="11" t="s">
        <v>5339</v>
      </c>
      <c r="T818" s="6"/>
      <c r="U818" s="28" t="str">
        <f>HYPERLINK("https://media.infra-m.ru/0967/0967598/cover/967598.jpg", "Обложка")</f>
        <v>Обложка</v>
      </c>
      <c r="V818" s="12"/>
      <c r="W818" s="8"/>
      <c r="X818" s="6"/>
      <c r="Y818" s="6"/>
      <c r="Z818" s="6" t="s">
        <v>48</v>
      </c>
      <c r="AA818" s="6" t="s">
        <v>122</v>
      </c>
    </row>
    <row r="819" spans="1:27" s="4" customFormat="1" ht="51.95" customHeight="1">
      <c r="A819" s="5">
        <v>0</v>
      </c>
      <c r="B819" s="6" t="s">
        <v>5340</v>
      </c>
      <c r="C819" s="7">
        <v>1940</v>
      </c>
      <c r="D819" s="8" t="s">
        <v>5341</v>
      </c>
      <c r="E819" s="8" t="s">
        <v>5342</v>
      </c>
      <c r="F819" s="8" t="s">
        <v>5343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430</v>
      </c>
      <c r="L819" s="9">
        <v>2023</v>
      </c>
      <c r="M819" s="8" t="s">
        <v>5344</v>
      </c>
      <c r="N819" s="8" t="s">
        <v>41</v>
      </c>
      <c r="O819" s="8" t="s">
        <v>160</v>
      </c>
      <c r="P819" s="6" t="s">
        <v>43</v>
      </c>
      <c r="Q819" s="8" t="s">
        <v>44</v>
      </c>
      <c r="R819" s="10" t="s">
        <v>2442</v>
      </c>
      <c r="S819" s="11" t="s">
        <v>5345</v>
      </c>
      <c r="T819" s="6"/>
      <c r="U819" s="28" t="str">
        <f>HYPERLINK("https://media.infra-m.ru/1971/1971058/cover/1971058.jpg", "Обложка")</f>
        <v>Обложка</v>
      </c>
      <c r="V819" s="28" t="str">
        <f>HYPERLINK("https://znanium.ru/catalog/product/1971058", "Ознакомиться")</f>
        <v>Ознакомиться</v>
      </c>
      <c r="W819" s="8" t="s">
        <v>2471</v>
      </c>
      <c r="X819" s="6"/>
      <c r="Y819" s="6"/>
      <c r="Z819" s="6" t="s">
        <v>48</v>
      </c>
      <c r="AA819" s="6" t="s">
        <v>94</v>
      </c>
    </row>
    <row r="820" spans="1:27" s="4" customFormat="1" ht="51.95" customHeight="1">
      <c r="A820" s="5">
        <v>0</v>
      </c>
      <c r="B820" s="6" t="s">
        <v>5346</v>
      </c>
      <c r="C820" s="7">
        <v>1194</v>
      </c>
      <c r="D820" s="8" t="s">
        <v>5347</v>
      </c>
      <c r="E820" s="8" t="s">
        <v>5348</v>
      </c>
      <c r="F820" s="8" t="s">
        <v>5349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264</v>
      </c>
      <c r="L820" s="9">
        <v>2023</v>
      </c>
      <c r="M820" s="8" t="s">
        <v>5350</v>
      </c>
      <c r="N820" s="8" t="s">
        <v>41</v>
      </c>
      <c r="O820" s="8" t="s">
        <v>1222</v>
      </c>
      <c r="P820" s="6" t="s">
        <v>43</v>
      </c>
      <c r="Q820" s="8" t="s">
        <v>44</v>
      </c>
      <c r="R820" s="10" t="s">
        <v>5351</v>
      </c>
      <c r="S820" s="11" t="s">
        <v>5352</v>
      </c>
      <c r="T820" s="6"/>
      <c r="U820" s="28" t="str">
        <f>HYPERLINK("https://media.infra-m.ru/2023/2023209/cover/2023209.jpg", "Обложка")</f>
        <v>Обложка</v>
      </c>
      <c r="V820" s="28" t="str">
        <f>HYPERLINK("https://znanium.ru/catalog/product/1077364", "Ознакомиться")</f>
        <v>Ознакомиться</v>
      </c>
      <c r="W820" s="8" t="s">
        <v>1225</v>
      </c>
      <c r="X820" s="6"/>
      <c r="Y820" s="6"/>
      <c r="Z820" s="6" t="s">
        <v>48</v>
      </c>
      <c r="AA820" s="6" t="s">
        <v>122</v>
      </c>
    </row>
    <row r="821" spans="1:27" s="4" customFormat="1" ht="42" customHeight="1">
      <c r="A821" s="5">
        <v>0</v>
      </c>
      <c r="B821" s="6" t="s">
        <v>5353</v>
      </c>
      <c r="C821" s="7">
        <v>1584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716</v>
      </c>
      <c r="I821" s="8" t="s">
        <v>39</v>
      </c>
      <c r="J821" s="9">
        <v>1</v>
      </c>
      <c r="K821" s="9">
        <v>352</v>
      </c>
      <c r="L821" s="9">
        <v>2023</v>
      </c>
      <c r="M821" s="8" t="s">
        <v>5357</v>
      </c>
      <c r="N821" s="8" t="s">
        <v>41</v>
      </c>
      <c r="O821" s="8" t="s">
        <v>42</v>
      </c>
      <c r="P821" s="6" t="s">
        <v>70</v>
      </c>
      <c r="Q821" s="8" t="s">
        <v>44</v>
      </c>
      <c r="R821" s="10" t="s">
        <v>5358</v>
      </c>
      <c r="S821" s="11"/>
      <c r="T821" s="6"/>
      <c r="U821" s="28" t="str">
        <f>HYPERLINK("https://media.infra-m.ru/2001/2001626/cover/2001626.jpg", "Обложка")</f>
        <v>Обложка</v>
      </c>
      <c r="V821" s="28" t="str">
        <f>HYPERLINK("https://znanium.ru/catalog/product/1495622", "Ознакомиться")</f>
        <v>Ознакомиться</v>
      </c>
      <c r="W821" s="8" t="s">
        <v>4039</v>
      </c>
      <c r="X821" s="6"/>
      <c r="Y821" s="6" t="s">
        <v>30</v>
      </c>
      <c r="Z821" s="6"/>
      <c r="AA821" s="6" t="s">
        <v>671</v>
      </c>
    </row>
    <row r="822" spans="1:27" s="4" customFormat="1" ht="51.95" customHeight="1">
      <c r="A822" s="5">
        <v>0</v>
      </c>
      <c r="B822" s="6" t="s">
        <v>5359</v>
      </c>
      <c r="C822" s="7">
        <v>1350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283</v>
      </c>
      <c r="I822" s="8" t="s">
        <v>39</v>
      </c>
      <c r="J822" s="9">
        <v>1</v>
      </c>
      <c r="K822" s="9">
        <v>286</v>
      </c>
      <c r="L822" s="9">
        <v>2024</v>
      </c>
      <c r="M822" s="8" t="s">
        <v>5363</v>
      </c>
      <c r="N822" s="8" t="s">
        <v>41</v>
      </c>
      <c r="O822" s="8" t="s">
        <v>160</v>
      </c>
      <c r="P822" s="6" t="s">
        <v>70</v>
      </c>
      <c r="Q822" s="8" t="s">
        <v>44</v>
      </c>
      <c r="R822" s="10" t="s">
        <v>2428</v>
      </c>
      <c r="S822" s="11" t="s">
        <v>5364</v>
      </c>
      <c r="T822" s="6"/>
      <c r="U822" s="28" t="str">
        <f>HYPERLINK("https://media.infra-m.ru/2149/2149600/cover/2149600.jpg", "Обложка")</f>
        <v>Обложка</v>
      </c>
      <c r="V822" s="28" t="str">
        <f>HYPERLINK("https://znanium.ru/catalog/product/2149600", "Ознакомиться")</f>
        <v>Ознакомиться</v>
      </c>
      <c r="W822" s="8" t="s">
        <v>555</v>
      </c>
      <c r="X822" s="6"/>
      <c r="Y822" s="6"/>
      <c r="Z822" s="6" t="s">
        <v>48</v>
      </c>
      <c r="AA822" s="6" t="s">
        <v>94</v>
      </c>
    </row>
    <row r="823" spans="1:27" s="4" customFormat="1" ht="51.95" customHeight="1">
      <c r="A823" s="5">
        <v>0</v>
      </c>
      <c r="B823" s="6" t="s">
        <v>5365</v>
      </c>
      <c r="C823" s="13">
        <v>624</v>
      </c>
      <c r="D823" s="8" t="s">
        <v>5366</v>
      </c>
      <c r="E823" s="8" t="s">
        <v>5367</v>
      </c>
      <c r="F823" s="8" t="s">
        <v>5368</v>
      </c>
      <c r="G823" s="6" t="s">
        <v>54</v>
      </c>
      <c r="H823" s="6" t="s">
        <v>283</v>
      </c>
      <c r="I823" s="8" t="s">
        <v>39</v>
      </c>
      <c r="J823" s="9">
        <v>1</v>
      </c>
      <c r="K823" s="9">
        <v>128</v>
      </c>
      <c r="L823" s="9">
        <v>2024</v>
      </c>
      <c r="M823" s="8" t="s">
        <v>5369</v>
      </c>
      <c r="N823" s="8" t="s">
        <v>41</v>
      </c>
      <c r="O823" s="8" t="s">
        <v>160</v>
      </c>
      <c r="P823" s="6" t="s">
        <v>43</v>
      </c>
      <c r="Q823" s="8" t="s">
        <v>44</v>
      </c>
      <c r="R823" s="10" t="s">
        <v>2442</v>
      </c>
      <c r="S823" s="11" t="s">
        <v>5370</v>
      </c>
      <c r="T823" s="6"/>
      <c r="U823" s="28" t="str">
        <f>HYPERLINK("https://media.infra-m.ru/2134/2134478/cover/2134478.jpg", "Обложка")</f>
        <v>Обложка</v>
      </c>
      <c r="V823" s="28" t="str">
        <f>HYPERLINK("https://znanium.ru/catalog/product/1831936", "Ознакомиться")</f>
        <v>Ознакомиться</v>
      </c>
      <c r="W823" s="8" t="s">
        <v>163</v>
      </c>
      <c r="X823" s="6"/>
      <c r="Y823" s="6"/>
      <c r="Z823" s="6" t="s">
        <v>48</v>
      </c>
      <c r="AA823" s="6" t="s">
        <v>475</v>
      </c>
    </row>
    <row r="824" spans="1:27" s="4" customFormat="1" ht="51.95" customHeight="1">
      <c r="A824" s="5">
        <v>0</v>
      </c>
      <c r="B824" s="6" t="s">
        <v>5371</v>
      </c>
      <c r="C824" s="7">
        <v>1674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352</v>
      </c>
      <c r="L824" s="9">
        <v>2024</v>
      </c>
      <c r="M824" s="8" t="s">
        <v>5375</v>
      </c>
      <c r="N824" s="8" t="s">
        <v>41</v>
      </c>
      <c r="O824" s="8" t="s">
        <v>178</v>
      </c>
      <c r="P824" s="6" t="s">
        <v>43</v>
      </c>
      <c r="Q824" s="8" t="s">
        <v>44</v>
      </c>
      <c r="R824" s="10" t="s">
        <v>5376</v>
      </c>
      <c r="S824" s="11" t="s">
        <v>5377</v>
      </c>
      <c r="T824" s="6"/>
      <c r="U824" s="28" t="str">
        <f>HYPERLINK("https://media.infra-m.ru/2149/2149188/cover/2149188.jpg", "Обложка")</f>
        <v>Обложка</v>
      </c>
      <c r="V824" s="28" t="str">
        <f>HYPERLINK("https://znanium.ru/catalog/product/1880922", "Ознакомиться")</f>
        <v>Ознакомиться</v>
      </c>
      <c r="W824" s="8" t="s">
        <v>163</v>
      </c>
      <c r="X824" s="6"/>
      <c r="Y824" s="6"/>
      <c r="Z824" s="6"/>
      <c r="AA824" s="6" t="s">
        <v>288</v>
      </c>
    </row>
    <row r="825" spans="1:27" s="4" customFormat="1" ht="51.95" customHeight="1">
      <c r="A825" s="5">
        <v>0</v>
      </c>
      <c r="B825" s="6" t="s">
        <v>5378</v>
      </c>
      <c r="C825" s="7">
        <v>1724</v>
      </c>
      <c r="D825" s="8" t="s">
        <v>5379</v>
      </c>
      <c r="E825" s="8" t="s">
        <v>5380</v>
      </c>
      <c r="F825" s="8" t="s">
        <v>5381</v>
      </c>
      <c r="G825" s="6" t="s">
        <v>66</v>
      </c>
      <c r="H825" s="6" t="s">
        <v>283</v>
      </c>
      <c r="I825" s="8" t="s">
        <v>39</v>
      </c>
      <c r="J825" s="9">
        <v>1</v>
      </c>
      <c r="K825" s="9">
        <v>367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70</v>
      </c>
      <c r="Q825" s="8" t="s">
        <v>44</v>
      </c>
      <c r="R825" s="10" t="s">
        <v>5383</v>
      </c>
      <c r="S825" s="11" t="s">
        <v>3311</v>
      </c>
      <c r="T825" s="6"/>
      <c r="U825" s="28" t="str">
        <f>HYPERLINK("https://media.infra-m.ru/2120/2120775/cover/2120775.jpg", "Обложка")</f>
        <v>Обложка</v>
      </c>
      <c r="V825" s="28" t="str">
        <f>HYPERLINK("https://znanium.ru/catalog/product/1725239", "Ознакомиться")</f>
        <v>Ознакомиться</v>
      </c>
      <c r="W825" s="8" t="s">
        <v>172</v>
      </c>
      <c r="X825" s="6"/>
      <c r="Y825" s="6"/>
      <c r="Z825" s="6"/>
      <c r="AA825" s="6" t="s">
        <v>534</v>
      </c>
    </row>
    <row r="826" spans="1:27" s="4" customFormat="1" ht="42" customHeight="1">
      <c r="A826" s="5">
        <v>0</v>
      </c>
      <c r="B826" s="6" t="s">
        <v>5384</v>
      </c>
      <c r="C826" s="7">
        <v>1094.9000000000001</v>
      </c>
      <c r="D826" s="8" t="s">
        <v>5385</v>
      </c>
      <c r="E826" s="8" t="s">
        <v>5386</v>
      </c>
      <c r="F826" s="8" t="s">
        <v>5381</v>
      </c>
      <c r="G826" s="6" t="s">
        <v>37</v>
      </c>
      <c r="H826" s="6" t="s">
        <v>283</v>
      </c>
      <c r="I826" s="8" t="s">
        <v>1004</v>
      </c>
      <c r="J826" s="9">
        <v>1</v>
      </c>
      <c r="K826" s="9">
        <v>288</v>
      </c>
      <c r="L826" s="9">
        <v>2022</v>
      </c>
      <c r="M826" s="8" t="s">
        <v>5387</v>
      </c>
      <c r="N826" s="8" t="s">
        <v>41</v>
      </c>
      <c r="O826" s="8" t="s">
        <v>160</v>
      </c>
      <c r="P826" s="6" t="s">
        <v>43</v>
      </c>
      <c r="Q826" s="8" t="s">
        <v>44</v>
      </c>
      <c r="R826" s="10" t="s">
        <v>5388</v>
      </c>
      <c r="S826" s="11"/>
      <c r="T826" s="6"/>
      <c r="U826" s="28" t="str">
        <f>HYPERLINK("https://media.infra-m.ru/1864/1864694/cover/1864694.jpg", "Обложка")</f>
        <v>Обложка</v>
      </c>
      <c r="V826" s="28" t="str">
        <f>HYPERLINK("https://znanium.ru/catalog/product/1015197", "Ознакомиться")</f>
        <v>Ознакомиться</v>
      </c>
      <c r="W826" s="8" t="s">
        <v>172</v>
      </c>
      <c r="X826" s="6"/>
      <c r="Y826" s="6"/>
      <c r="Z826" s="6"/>
      <c r="AA826" s="6" t="s">
        <v>587</v>
      </c>
    </row>
    <row r="827" spans="1:27" s="4" customFormat="1" ht="51.95" customHeight="1">
      <c r="A827" s="5">
        <v>0</v>
      </c>
      <c r="B827" s="6" t="s">
        <v>5389</v>
      </c>
      <c r="C827" s="7">
        <v>1024</v>
      </c>
      <c r="D827" s="8" t="s">
        <v>5390</v>
      </c>
      <c r="E827" s="8" t="s">
        <v>5391</v>
      </c>
      <c r="F827" s="8" t="s">
        <v>5392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216</v>
      </c>
      <c r="L827" s="9">
        <v>2024</v>
      </c>
      <c r="M827" s="8" t="s">
        <v>5393</v>
      </c>
      <c r="N827" s="8" t="s">
        <v>41</v>
      </c>
      <c r="O827" s="8" t="s">
        <v>160</v>
      </c>
      <c r="P827" s="6" t="s">
        <v>43</v>
      </c>
      <c r="Q827" s="8" t="s">
        <v>44</v>
      </c>
      <c r="R827" s="10" t="s">
        <v>5394</v>
      </c>
      <c r="S827" s="11" t="s">
        <v>5395</v>
      </c>
      <c r="T827" s="6"/>
      <c r="U827" s="28" t="str">
        <f>HYPERLINK("https://media.infra-m.ru/2111/2111932/cover/2111932.jpg", "Обложка")</f>
        <v>Обложка</v>
      </c>
      <c r="V827" s="28" t="str">
        <f>HYPERLINK("https://znanium.ru/catalog/product/1778232", "Ознакомиться")</f>
        <v>Ознакомиться</v>
      </c>
      <c r="W827" s="8" t="s">
        <v>172</v>
      </c>
      <c r="X827" s="6"/>
      <c r="Y827" s="6"/>
      <c r="Z827" s="6"/>
      <c r="AA827" s="6" t="s">
        <v>671</v>
      </c>
    </row>
    <row r="828" spans="1:27" s="4" customFormat="1" ht="51.95" customHeight="1">
      <c r="A828" s="5">
        <v>0</v>
      </c>
      <c r="B828" s="6" t="s">
        <v>5396</v>
      </c>
      <c r="C828" s="7">
        <v>1730</v>
      </c>
      <c r="D828" s="8" t="s">
        <v>5397</v>
      </c>
      <c r="E828" s="8" t="s">
        <v>5398</v>
      </c>
      <c r="F828" s="8" t="s">
        <v>5399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375</v>
      </c>
      <c r="L828" s="9">
        <v>2024</v>
      </c>
      <c r="M828" s="8" t="s">
        <v>5400</v>
      </c>
      <c r="N828" s="8" t="s">
        <v>41</v>
      </c>
      <c r="O828" s="8" t="s">
        <v>160</v>
      </c>
      <c r="P828" s="6" t="s">
        <v>70</v>
      </c>
      <c r="Q828" s="8" t="s">
        <v>44</v>
      </c>
      <c r="R828" s="10" t="s">
        <v>5401</v>
      </c>
      <c r="S828" s="11" t="s">
        <v>5402</v>
      </c>
      <c r="T828" s="6"/>
      <c r="U828" s="28" t="str">
        <f>HYPERLINK("https://media.infra-m.ru/2102/2102044/cover/2102044.jpg", "Обложка")</f>
        <v>Обложка</v>
      </c>
      <c r="V828" s="28" t="str">
        <f>HYPERLINK("https://znanium.ru/catalog/product/2102044", "Ознакомиться")</f>
        <v>Ознакомиться</v>
      </c>
      <c r="W828" s="8" t="s">
        <v>2599</v>
      </c>
      <c r="X828" s="6"/>
      <c r="Y828" s="6"/>
      <c r="Z828" s="6" t="s">
        <v>48</v>
      </c>
      <c r="AA828" s="6" t="s">
        <v>893</v>
      </c>
    </row>
    <row r="829" spans="1:27" s="4" customFormat="1" ht="51.95" customHeight="1">
      <c r="A829" s="5">
        <v>0</v>
      </c>
      <c r="B829" s="6" t="s">
        <v>5403</v>
      </c>
      <c r="C829" s="7">
        <v>2350</v>
      </c>
      <c r="D829" s="8" t="s">
        <v>5404</v>
      </c>
      <c r="E829" s="8" t="s">
        <v>5405</v>
      </c>
      <c r="F829" s="8" t="s">
        <v>5406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511</v>
      </c>
      <c r="L829" s="9">
        <v>2024</v>
      </c>
      <c r="M829" s="8" t="s">
        <v>5407</v>
      </c>
      <c r="N829" s="8" t="s">
        <v>41</v>
      </c>
      <c r="O829" s="8" t="s">
        <v>160</v>
      </c>
      <c r="P829" s="6" t="s">
        <v>70</v>
      </c>
      <c r="Q829" s="8" t="s">
        <v>44</v>
      </c>
      <c r="R829" s="10" t="s">
        <v>5408</v>
      </c>
      <c r="S829" s="11" t="s">
        <v>5409</v>
      </c>
      <c r="T829" s="6"/>
      <c r="U829" s="28" t="str">
        <f>HYPERLINK("https://media.infra-m.ru/2103/2103211/cover/2103211.jpg", "Обложка")</f>
        <v>Обложка</v>
      </c>
      <c r="V829" s="28" t="str">
        <f>HYPERLINK("https://znanium.ru/catalog/product/2103211", "Ознакомиться")</f>
        <v>Ознакомиться</v>
      </c>
      <c r="W829" s="8" t="s">
        <v>2599</v>
      </c>
      <c r="X829" s="6"/>
      <c r="Y829" s="6"/>
      <c r="Z829" s="6" t="s">
        <v>48</v>
      </c>
      <c r="AA829" s="6" t="s">
        <v>524</v>
      </c>
    </row>
    <row r="830" spans="1:27" s="4" customFormat="1" ht="51.95" customHeight="1">
      <c r="A830" s="5">
        <v>0</v>
      </c>
      <c r="B830" s="6" t="s">
        <v>5410</v>
      </c>
      <c r="C830" s="7">
        <v>1424</v>
      </c>
      <c r="D830" s="8" t="s">
        <v>5411</v>
      </c>
      <c r="E830" s="8" t="s">
        <v>5412</v>
      </c>
      <c r="F830" s="8" t="s">
        <v>5413</v>
      </c>
      <c r="G830" s="6" t="s">
        <v>37</v>
      </c>
      <c r="H830" s="6" t="s">
        <v>38</v>
      </c>
      <c r="I830" s="8" t="s">
        <v>56</v>
      </c>
      <c r="J830" s="9">
        <v>1</v>
      </c>
      <c r="K830" s="9">
        <v>304</v>
      </c>
      <c r="L830" s="9">
        <v>2024</v>
      </c>
      <c r="M830" s="8" t="s">
        <v>5414</v>
      </c>
      <c r="N830" s="8" t="s">
        <v>118</v>
      </c>
      <c r="O830" s="8" t="s">
        <v>1459</v>
      </c>
      <c r="P830" s="6" t="s">
        <v>43</v>
      </c>
      <c r="Q830" s="8" t="s">
        <v>44</v>
      </c>
      <c r="R830" s="10" t="s">
        <v>4334</v>
      </c>
      <c r="S830" s="11" t="s">
        <v>2881</v>
      </c>
      <c r="T830" s="6"/>
      <c r="U830" s="28" t="str">
        <f>HYPERLINK("https://media.infra-m.ru/2139/2139782/cover/2139782.jpg", "Обложка")</f>
        <v>Обложка</v>
      </c>
      <c r="V830" s="12"/>
      <c r="W830" s="8" t="s">
        <v>261</v>
      </c>
      <c r="X830" s="6"/>
      <c r="Y830" s="6"/>
      <c r="Z830" s="6"/>
      <c r="AA830" s="6" t="s">
        <v>103</v>
      </c>
    </row>
    <row r="831" spans="1:27" s="4" customFormat="1" ht="51.95" customHeight="1">
      <c r="A831" s="5">
        <v>0</v>
      </c>
      <c r="B831" s="6" t="s">
        <v>5415</v>
      </c>
      <c r="C831" s="13">
        <v>500</v>
      </c>
      <c r="D831" s="8" t="s">
        <v>5416</v>
      </c>
      <c r="E831" s="8" t="s">
        <v>5417</v>
      </c>
      <c r="F831" s="8" t="s">
        <v>5418</v>
      </c>
      <c r="G831" s="6" t="s">
        <v>54</v>
      </c>
      <c r="H831" s="6" t="s">
        <v>38</v>
      </c>
      <c r="I831" s="8" t="s">
        <v>39</v>
      </c>
      <c r="J831" s="9">
        <v>1</v>
      </c>
      <c r="K831" s="9">
        <v>128</v>
      </c>
      <c r="L831" s="9">
        <v>2021</v>
      </c>
      <c r="M831" s="8" t="s">
        <v>5419</v>
      </c>
      <c r="N831" s="8" t="s">
        <v>504</v>
      </c>
      <c r="O831" s="8" t="s">
        <v>948</v>
      </c>
      <c r="P831" s="6" t="s">
        <v>43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HYPERLINK("https://media.infra-m.ru/1227/1227707/cover/1227707.jpg", "Обложка")</f>
        <v>Обложка</v>
      </c>
      <c r="V831" s="28" t="str">
        <f>HYPERLINK("https://znanium.ru/catalog/product/1227707", "Ознакомиться")</f>
        <v>Ознакомиться</v>
      </c>
      <c r="W831" s="8" t="s">
        <v>146</v>
      </c>
      <c r="X831" s="6"/>
      <c r="Y831" s="6"/>
      <c r="Z831" s="6" t="s">
        <v>48</v>
      </c>
      <c r="AA831" s="6" t="s">
        <v>656</v>
      </c>
    </row>
    <row r="832" spans="1:27" s="4" customFormat="1" ht="51.95" customHeight="1">
      <c r="A832" s="5">
        <v>0</v>
      </c>
      <c r="B832" s="6" t="s">
        <v>5422</v>
      </c>
      <c r="C832" s="13">
        <v>840</v>
      </c>
      <c r="D832" s="8" t="s">
        <v>5423</v>
      </c>
      <c r="E832" s="8" t="s">
        <v>5424</v>
      </c>
      <c r="F832" s="8" t="s">
        <v>5425</v>
      </c>
      <c r="G832" s="6" t="s">
        <v>66</v>
      </c>
      <c r="H832" s="6" t="s">
        <v>38</v>
      </c>
      <c r="I832" s="8" t="s">
        <v>39</v>
      </c>
      <c r="J832" s="9">
        <v>1</v>
      </c>
      <c r="K832" s="9">
        <v>208</v>
      </c>
      <c r="L832" s="9">
        <v>2022</v>
      </c>
      <c r="M832" s="8" t="s">
        <v>5426</v>
      </c>
      <c r="N832" s="8" t="s">
        <v>504</v>
      </c>
      <c r="O832" s="8" t="s">
        <v>948</v>
      </c>
      <c r="P832" s="6" t="s">
        <v>70</v>
      </c>
      <c r="Q832" s="8" t="s">
        <v>44</v>
      </c>
      <c r="R832" s="10" t="s">
        <v>5427</v>
      </c>
      <c r="S832" s="11" t="s">
        <v>5428</v>
      </c>
      <c r="T832" s="6"/>
      <c r="U832" s="28" t="str">
        <f>HYPERLINK("https://media.infra-m.ru/1854/1854406/cover/1854406.jpg", "Обложка")</f>
        <v>Обложка</v>
      </c>
      <c r="V832" s="28" t="str">
        <f>HYPERLINK("https://znanium.ru/catalog/product/1854406", "Ознакомиться")</f>
        <v>Ознакомиться</v>
      </c>
      <c r="W832" s="8" t="s">
        <v>181</v>
      </c>
      <c r="X832" s="6"/>
      <c r="Y832" s="6"/>
      <c r="Z832" s="6" t="s">
        <v>48</v>
      </c>
      <c r="AA832" s="6" t="s">
        <v>656</v>
      </c>
    </row>
    <row r="833" spans="1:27" s="4" customFormat="1" ht="51.95" customHeight="1">
      <c r="A833" s="5">
        <v>0</v>
      </c>
      <c r="B833" s="6" t="s">
        <v>5429</v>
      </c>
      <c r="C833" s="7">
        <v>1220</v>
      </c>
      <c r="D833" s="8" t="s">
        <v>5430</v>
      </c>
      <c r="E833" s="8" t="s">
        <v>5431</v>
      </c>
      <c r="F833" s="8" t="s">
        <v>5432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322</v>
      </c>
      <c r="L833" s="9">
        <v>2022</v>
      </c>
      <c r="M833" s="8" t="s">
        <v>5433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5434</v>
      </c>
      <c r="S833" s="11" t="s">
        <v>5435</v>
      </c>
      <c r="T833" s="6"/>
      <c r="U833" s="28" t="str">
        <f>HYPERLINK("https://media.infra-m.ru/1851/1851427/cover/1851427.jpg", "Обложка")</f>
        <v>Обложка</v>
      </c>
      <c r="V833" s="28" t="str">
        <f>HYPERLINK("https://znanium.ru/catalog/product/1851427", "Ознакомиться")</f>
        <v>Ознакомиться</v>
      </c>
      <c r="W833" s="8" t="s">
        <v>508</v>
      </c>
      <c r="X833" s="6"/>
      <c r="Y833" s="6"/>
      <c r="Z833" s="6" t="s">
        <v>687</v>
      </c>
      <c r="AA833" s="6" t="s">
        <v>893</v>
      </c>
    </row>
    <row r="834" spans="1:27" s="4" customFormat="1" ht="51.95" customHeight="1">
      <c r="A834" s="5">
        <v>0</v>
      </c>
      <c r="B834" s="6" t="s">
        <v>5436</v>
      </c>
      <c r="C834" s="7">
        <v>1374</v>
      </c>
      <c r="D834" s="8" t="s">
        <v>5437</v>
      </c>
      <c r="E834" s="8" t="s">
        <v>5424</v>
      </c>
      <c r="F834" s="8" t="s">
        <v>5438</v>
      </c>
      <c r="G834" s="6" t="s">
        <v>37</v>
      </c>
      <c r="H834" s="6" t="s">
        <v>79</v>
      </c>
      <c r="I834" s="8" t="s">
        <v>39</v>
      </c>
      <c r="J834" s="9">
        <v>1</v>
      </c>
      <c r="K834" s="9">
        <v>292</v>
      </c>
      <c r="L834" s="9">
        <v>2023</v>
      </c>
      <c r="M834" s="8" t="s">
        <v>5439</v>
      </c>
      <c r="N834" s="8" t="s">
        <v>504</v>
      </c>
      <c r="O834" s="8" t="s">
        <v>948</v>
      </c>
      <c r="P834" s="6" t="s">
        <v>43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HYPERLINK("https://media.infra-m.ru/1976/1976195/cover/1976195.jpg", "Обложка")</f>
        <v>Обложка</v>
      </c>
      <c r="V834" s="28" t="str">
        <f>HYPERLINK("https://znanium.ru/catalog/product/1023596", "Ознакомиться")</f>
        <v>Ознакомиться</v>
      </c>
      <c r="W834" s="8" t="s">
        <v>1408</v>
      </c>
      <c r="X834" s="6"/>
      <c r="Y834" s="6"/>
      <c r="Z834" s="6" t="s">
        <v>48</v>
      </c>
      <c r="AA834" s="6" t="s">
        <v>94</v>
      </c>
    </row>
    <row r="835" spans="1:27" s="4" customFormat="1" ht="51.95" customHeight="1">
      <c r="A835" s="5">
        <v>0</v>
      </c>
      <c r="B835" s="6" t="s">
        <v>5442</v>
      </c>
      <c r="C835" s="7">
        <v>1280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271</v>
      </c>
      <c r="L835" s="9">
        <v>2024</v>
      </c>
      <c r="M835" s="8" t="s">
        <v>5446</v>
      </c>
      <c r="N835" s="8" t="s">
        <v>41</v>
      </c>
      <c r="O835" s="8" t="s">
        <v>160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HYPERLINK("https://media.infra-m.ru/2132/2132083/cover/2132083.jpg", "Обложка")</f>
        <v>Обложка</v>
      </c>
      <c r="V835" s="28" t="str">
        <f>HYPERLINK("https://znanium.ru/catalog/product/2132083", "Ознакомиться")</f>
        <v>Ознакомиться</v>
      </c>
      <c r="W835" s="8" t="s">
        <v>5165</v>
      </c>
      <c r="X835" s="6"/>
      <c r="Y835" s="6"/>
      <c r="Z835" s="6" t="s">
        <v>48</v>
      </c>
      <c r="AA835" s="6" t="s">
        <v>475</v>
      </c>
    </row>
    <row r="836" spans="1:27" s="4" customFormat="1" ht="51.95" customHeight="1">
      <c r="A836" s="5">
        <v>0</v>
      </c>
      <c r="B836" s="6" t="s">
        <v>5449</v>
      </c>
      <c r="C836" s="7">
        <v>1660</v>
      </c>
      <c r="D836" s="8" t="s">
        <v>5450</v>
      </c>
      <c r="E836" s="8" t="s">
        <v>5451</v>
      </c>
      <c r="F836" s="8" t="s">
        <v>5452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359</v>
      </c>
      <c r="L836" s="9">
        <v>2024</v>
      </c>
      <c r="M836" s="8" t="s">
        <v>5453</v>
      </c>
      <c r="N836" s="8" t="s">
        <v>68</v>
      </c>
      <c r="O836" s="8" t="s">
        <v>69</v>
      </c>
      <c r="P836" s="6" t="s">
        <v>70</v>
      </c>
      <c r="Q836" s="8" t="s">
        <v>44</v>
      </c>
      <c r="R836" s="10" t="s">
        <v>2605</v>
      </c>
      <c r="S836" s="11" t="s">
        <v>5454</v>
      </c>
      <c r="T836" s="6"/>
      <c r="U836" s="28" t="str">
        <f>HYPERLINK("https://media.infra-m.ru/2129/2129204/cover/2129204.jpg", "Обложка")</f>
        <v>Обложка</v>
      </c>
      <c r="V836" s="28" t="str">
        <f>HYPERLINK("https://znanium.ru/catalog/product/2129204", "Ознакомиться")</f>
        <v>Ознакомиться</v>
      </c>
      <c r="W836" s="8" t="s">
        <v>5455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5456</v>
      </c>
      <c r="C837" s="7">
        <v>1434</v>
      </c>
      <c r="D837" s="8" t="s">
        <v>5457</v>
      </c>
      <c r="E837" s="8" t="s">
        <v>5458</v>
      </c>
      <c r="F837" s="8" t="s">
        <v>3283</v>
      </c>
      <c r="G837" s="6" t="s">
        <v>66</v>
      </c>
      <c r="H837" s="6" t="s">
        <v>283</v>
      </c>
      <c r="I837" s="8" t="s">
        <v>39</v>
      </c>
      <c r="J837" s="9">
        <v>1</v>
      </c>
      <c r="K837" s="9">
        <v>304</v>
      </c>
      <c r="L837" s="9">
        <v>2024</v>
      </c>
      <c r="M837" s="8" t="s">
        <v>5459</v>
      </c>
      <c r="N837" s="8" t="s">
        <v>118</v>
      </c>
      <c r="O837" s="8" t="s">
        <v>119</v>
      </c>
      <c r="P837" s="6" t="s">
        <v>43</v>
      </c>
      <c r="Q837" s="8" t="s">
        <v>44</v>
      </c>
      <c r="R837" s="10" t="s">
        <v>5460</v>
      </c>
      <c r="S837" s="11" t="s">
        <v>1000</v>
      </c>
      <c r="T837" s="6"/>
      <c r="U837" s="28" t="str">
        <f>HYPERLINK("https://media.infra-m.ru/2149/2149191/cover/2149191.jpg", "Обложка")</f>
        <v>Обложка</v>
      </c>
      <c r="V837" s="28" t="str">
        <f>HYPERLINK("https://znanium.ru/catalog/product/2082174", "Ознакомиться")</f>
        <v>Ознакомиться</v>
      </c>
      <c r="W837" s="8" t="s">
        <v>431</v>
      </c>
      <c r="X837" s="6"/>
      <c r="Y837" s="6" t="s">
        <v>30</v>
      </c>
      <c r="Z837" s="6"/>
      <c r="AA837" s="6" t="s">
        <v>103</v>
      </c>
    </row>
    <row r="838" spans="1:27" s="4" customFormat="1" ht="51.95" customHeight="1">
      <c r="A838" s="5">
        <v>0</v>
      </c>
      <c r="B838" s="6" t="s">
        <v>5461</v>
      </c>
      <c r="C838" s="13">
        <v>494.9</v>
      </c>
      <c r="D838" s="8" t="s">
        <v>5462</v>
      </c>
      <c r="E838" s="8" t="s">
        <v>5463</v>
      </c>
      <c r="F838" s="8" t="s">
        <v>5464</v>
      </c>
      <c r="G838" s="6" t="s">
        <v>37</v>
      </c>
      <c r="H838" s="6" t="s">
        <v>55</v>
      </c>
      <c r="I838" s="8" t="s">
        <v>1004</v>
      </c>
      <c r="J838" s="9">
        <v>1</v>
      </c>
      <c r="K838" s="9">
        <v>111</v>
      </c>
      <c r="L838" s="9">
        <v>2023</v>
      </c>
      <c r="M838" s="8" t="s">
        <v>5465</v>
      </c>
      <c r="N838" s="8" t="s">
        <v>118</v>
      </c>
      <c r="O838" s="8" t="s">
        <v>119</v>
      </c>
      <c r="P838" s="6" t="s">
        <v>43</v>
      </c>
      <c r="Q838" s="8" t="s">
        <v>44</v>
      </c>
      <c r="R838" s="10" t="s">
        <v>5466</v>
      </c>
      <c r="S838" s="11" t="s">
        <v>2004</v>
      </c>
      <c r="T838" s="6"/>
      <c r="U838" s="28" t="str">
        <f>HYPERLINK("https://media.infra-m.ru/1911/1911177/cover/1911177.jpg", "Обложка")</f>
        <v>Обложка</v>
      </c>
      <c r="V838" s="28" t="str">
        <f>HYPERLINK("https://znanium.ru/catalog/product/1229811", "Ознакомиться")</f>
        <v>Ознакомиться</v>
      </c>
      <c r="W838" s="8" t="s">
        <v>2005</v>
      </c>
      <c r="X838" s="6"/>
      <c r="Y838" s="6"/>
      <c r="Z838" s="6"/>
      <c r="AA838" s="6" t="s">
        <v>138</v>
      </c>
    </row>
    <row r="839" spans="1:27" s="4" customFormat="1" ht="42" customHeight="1">
      <c r="A839" s="5">
        <v>0</v>
      </c>
      <c r="B839" s="6" t="s">
        <v>5467</v>
      </c>
      <c r="C839" s="7">
        <v>1260</v>
      </c>
      <c r="D839" s="8" t="s">
        <v>5468</v>
      </c>
      <c r="E839" s="8" t="s">
        <v>5469</v>
      </c>
      <c r="F839" s="8" t="s">
        <v>5470</v>
      </c>
      <c r="G839" s="6" t="s">
        <v>66</v>
      </c>
      <c r="H839" s="6" t="s">
        <v>116</v>
      </c>
      <c r="I839" s="8" t="s">
        <v>39</v>
      </c>
      <c r="J839" s="9">
        <v>1</v>
      </c>
      <c r="K839" s="9">
        <v>272</v>
      </c>
      <c r="L839" s="9">
        <v>2024</v>
      </c>
      <c r="M839" s="8" t="s">
        <v>5471</v>
      </c>
      <c r="N839" s="8" t="s">
        <v>118</v>
      </c>
      <c r="O839" s="8" t="s">
        <v>336</v>
      </c>
      <c r="P839" s="6" t="s">
        <v>43</v>
      </c>
      <c r="Q839" s="8" t="s">
        <v>44</v>
      </c>
      <c r="R839" s="10" t="s">
        <v>91</v>
      </c>
      <c r="S839" s="11"/>
      <c r="T839" s="6"/>
      <c r="U839" s="28" t="str">
        <f>HYPERLINK("https://media.infra-m.ru/2096/2096783/cover/2096783.jpg", "Обложка")</f>
        <v>Обложка</v>
      </c>
      <c r="V839" s="28" t="str">
        <f>HYPERLINK("https://znanium.ru/catalog/product/2096783", "Ознакомиться")</f>
        <v>Ознакомиться</v>
      </c>
      <c r="W839" s="8" t="s">
        <v>93</v>
      </c>
      <c r="X839" s="6"/>
      <c r="Y839" s="6"/>
      <c r="Z839" s="6" t="s">
        <v>48</v>
      </c>
      <c r="AA839" s="6" t="s">
        <v>85</v>
      </c>
    </row>
    <row r="840" spans="1:27" s="4" customFormat="1" ht="51.95" customHeight="1">
      <c r="A840" s="5">
        <v>0</v>
      </c>
      <c r="B840" s="6" t="s">
        <v>5472</v>
      </c>
      <c r="C840" s="13">
        <v>920</v>
      </c>
      <c r="D840" s="8" t="s">
        <v>5473</v>
      </c>
      <c r="E840" s="8" t="s">
        <v>5474</v>
      </c>
      <c r="F840" s="8" t="s">
        <v>5475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198</v>
      </c>
      <c r="L840" s="9">
        <v>2024</v>
      </c>
      <c r="M840" s="8" t="s">
        <v>5476</v>
      </c>
      <c r="N840" s="8" t="s">
        <v>1171</v>
      </c>
      <c r="O840" s="8" t="s">
        <v>1172</v>
      </c>
      <c r="P840" s="6" t="s">
        <v>43</v>
      </c>
      <c r="Q840" s="8" t="s">
        <v>44</v>
      </c>
      <c r="R840" s="10" t="s">
        <v>1983</v>
      </c>
      <c r="S840" s="11" t="s">
        <v>5477</v>
      </c>
      <c r="T840" s="6"/>
      <c r="U840" s="28" t="str">
        <f>HYPERLINK("https://media.infra-m.ru/2120/2120762/cover/2120762.jpg", "Обложка")</f>
        <v>Обложка</v>
      </c>
      <c r="V840" s="28" t="str">
        <f>HYPERLINK("https://znanium.ru/catalog/product/2120762", "Ознакомиться")</f>
        <v>Ознакомиться</v>
      </c>
      <c r="W840" s="8" t="s">
        <v>1971</v>
      </c>
      <c r="X840" s="6"/>
      <c r="Y840" s="6"/>
      <c r="Z840" s="6" t="s">
        <v>48</v>
      </c>
      <c r="AA840" s="6" t="s">
        <v>213</v>
      </c>
    </row>
    <row r="841" spans="1:27" s="4" customFormat="1" ht="51.95" customHeight="1">
      <c r="A841" s="5">
        <v>0</v>
      </c>
      <c r="B841" s="6" t="s">
        <v>5478</v>
      </c>
      <c r="C841" s="13">
        <v>920</v>
      </c>
      <c r="D841" s="8" t="s">
        <v>5479</v>
      </c>
      <c r="E841" s="8" t="s">
        <v>5480</v>
      </c>
      <c r="F841" s="8" t="s">
        <v>1902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242</v>
      </c>
      <c r="L841" s="9">
        <v>2022</v>
      </c>
      <c r="M841" s="8" t="s">
        <v>5481</v>
      </c>
      <c r="N841" s="8" t="s">
        <v>504</v>
      </c>
      <c r="O841" s="8" t="s">
        <v>948</v>
      </c>
      <c r="P841" s="6" t="s">
        <v>43</v>
      </c>
      <c r="Q841" s="8" t="s">
        <v>44</v>
      </c>
      <c r="R841" s="10" t="s">
        <v>5482</v>
      </c>
      <c r="S841" s="11" t="s">
        <v>5483</v>
      </c>
      <c r="T841" s="6"/>
      <c r="U841" s="28" t="str">
        <f>HYPERLINK("https://media.infra-m.ru/1851/1851433/cover/1851433.jpg", "Обложка")</f>
        <v>Обложка</v>
      </c>
      <c r="V841" s="28" t="str">
        <f>HYPERLINK("https://znanium.ru/catalog/product/1851433", "Ознакомиться")</f>
        <v>Ознакомиться</v>
      </c>
      <c r="W841" s="8" t="s">
        <v>1906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5484</v>
      </c>
      <c r="C842" s="7">
        <v>1444.9</v>
      </c>
      <c r="D842" s="8" t="s">
        <v>5485</v>
      </c>
      <c r="E842" s="8" t="s">
        <v>5486</v>
      </c>
      <c r="F842" s="8" t="s">
        <v>5487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321</v>
      </c>
      <c r="L842" s="9">
        <v>2023</v>
      </c>
      <c r="M842" s="8" t="s">
        <v>5488</v>
      </c>
      <c r="N842" s="8" t="s">
        <v>41</v>
      </c>
      <c r="O842" s="8" t="s">
        <v>160</v>
      </c>
      <c r="P842" s="6" t="s">
        <v>43</v>
      </c>
      <c r="Q842" s="8" t="s">
        <v>44</v>
      </c>
      <c r="R842" s="10" t="s">
        <v>5489</v>
      </c>
      <c r="S842" s="11" t="s">
        <v>5490</v>
      </c>
      <c r="T842" s="6"/>
      <c r="U842" s="28" t="str">
        <f>HYPERLINK("https://media.infra-m.ru/1976/1976189/cover/1976189.jpg", "Обложка")</f>
        <v>Обложка</v>
      </c>
      <c r="V842" s="28" t="str">
        <f>HYPERLINK("https://znanium.ru/catalog/product/1021724", "Ознакомиться")</f>
        <v>Ознакомиться</v>
      </c>
      <c r="W842" s="8" t="s">
        <v>555</v>
      </c>
      <c r="X842" s="6"/>
      <c r="Y842" s="6"/>
      <c r="Z842" s="6" t="s">
        <v>48</v>
      </c>
      <c r="AA842" s="6" t="s">
        <v>656</v>
      </c>
    </row>
    <row r="843" spans="1:27" s="4" customFormat="1" ht="42" customHeight="1">
      <c r="A843" s="5">
        <v>0</v>
      </c>
      <c r="B843" s="6" t="s">
        <v>5491</v>
      </c>
      <c r="C843" s="7">
        <v>1030</v>
      </c>
      <c r="D843" s="8" t="s">
        <v>5492</v>
      </c>
      <c r="E843" s="8" t="s">
        <v>5493</v>
      </c>
      <c r="F843" s="8" t="s">
        <v>5494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203</v>
      </c>
      <c r="L843" s="9">
        <v>2024</v>
      </c>
      <c r="M843" s="8" t="s">
        <v>5495</v>
      </c>
      <c r="N843" s="8" t="s">
        <v>41</v>
      </c>
      <c r="O843" s="8" t="s">
        <v>160</v>
      </c>
      <c r="P843" s="6" t="s">
        <v>43</v>
      </c>
      <c r="Q843" s="8" t="s">
        <v>44</v>
      </c>
      <c r="R843" s="10" t="s">
        <v>5496</v>
      </c>
      <c r="S843" s="11"/>
      <c r="T843" s="6"/>
      <c r="U843" s="28" t="str">
        <f>HYPERLINK("https://media.infra-m.ru/1895/1895448/cover/1895448.jpg", "Обложка")</f>
        <v>Обложка</v>
      </c>
      <c r="V843" s="28" t="str">
        <f>HYPERLINK("https://znanium.ru/catalog/product/1895448", "Ознакомиться")</f>
        <v>Ознакомиться</v>
      </c>
      <c r="W843" s="8" t="s">
        <v>5497</v>
      </c>
      <c r="X843" s="6" t="s">
        <v>597</v>
      </c>
      <c r="Y843" s="6"/>
      <c r="Z843" s="6"/>
      <c r="AA843" s="6" t="s">
        <v>339</v>
      </c>
    </row>
    <row r="844" spans="1:27" s="4" customFormat="1" ht="44.1" customHeight="1">
      <c r="A844" s="5">
        <v>0</v>
      </c>
      <c r="B844" s="6" t="s">
        <v>5498</v>
      </c>
      <c r="C844" s="7">
        <v>1054</v>
      </c>
      <c r="D844" s="8" t="s">
        <v>5499</v>
      </c>
      <c r="E844" s="8" t="s">
        <v>5500</v>
      </c>
      <c r="F844" s="8" t="s">
        <v>5501</v>
      </c>
      <c r="G844" s="6" t="s">
        <v>66</v>
      </c>
      <c r="H844" s="6" t="s">
        <v>716</v>
      </c>
      <c r="I844" s="8" t="s">
        <v>39</v>
      </c>
      <c r="J844" s="9">
        <v>1</v>
      </c>
      <c r="K844" s="9">
        <v>224</v>
      </c>
      <c r="L844" s="9">
        <v>2024</v>
      </c>
      <c r="M844" s="8" t="s">
        <v>5502</v>
      </c>
      <c r="N844" s="8" t="s">
        <v>41</v>
      </c>
      <c r="O844" s="8" t="s">
        <v>160</v>
      </c>
      <c r="P844" s="6" t="s">
        <v>70</v>
      </c>
      <c r="Q844" s="8" t="s">
        <v>44</v>
      </c>
      <c r="R844" s="10" t="s">
        <v>5503</v>
      </c>
      <c r="S844" s="11"/>
      <c r="T844" s="6"/>
      <c r="U844" s="28" t="str">
        <f>HYPERLINK("https://media.infra-m.ru/2135/2135610/cover/2135610.jpg", "Обложка")</f>
        <v>Обложка</v>
      </c>
      <c r="V844" s="28" t="str">
        <f>HYPERLINK("https://znanium.ru/catalog/product/1817913", "Ознакомиться")</f>
        <v>Ознакомиться</v>
      </c>
      <c r="W844" s="8" t="s">
        <v>172</v>
      </c>
      <c r="X844" s="6"/>
      <c r="Y844" s="6"/>
      <c r="Z844" s="6"/>
      <c r="AA844" s="6" t="s">
        <v>671</v>
      </c>
    </row>
    <row r="845" spans="1:27" s="4" customFormat="1" ht="51.95" customHeight="1">
      <c r="A845" s="5">
        <v>0</v>
      </c>
      <c r="B845" s="6" t="s">
        <v>5504</v>
      </c>
      <c r="C845" s="7">
        <v>1024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320</v>
      </c>
      <c r="L845" s="9">
        <v>2019</v>
      </c>
      <c r="M845" s="8" t="s">
        <v>5508</v>
      </c>
      <c r="N845" s="8" t="s">
        <v>118</v>
      </c>
      <c r="O845" s="8" t="s">
        <v>119</v>
      </c>
      <c r="P845" s="6" t="s">
        <v>70</v>
      </c>
      <c r="Q845" s="8" t="s">
        <v>44</v>
      </c>
      <c r="R845" s="10" t="s">
        <v>5509</v>
      </c>
      <c r="S845" s="11" t="s">
        <v>5510</v>
      </c>
      <c r="T845" s="6"/>
      <c r="U845" s="28" t="str">
        <f>HYPERLINK("https://media.infra-m.ru/2081/2081982/cover/2081982.jpg", "Обложка")</f>
        <v>Обложка</v>
      </c>
      <c r="V845" s="28" t="str">
        <f>HYPERLINK("https://znanium.ru/catalog/product/2059563", "Ознакомиться")</f>
        <v>Ознакомиться</v>
      </c>
      <c r="W845" s="8" t="s">
        <v>422</v>
      </c>
      <c r="X845" s="6"/>
      <c r="Y845" s="6"/>
      <c r="Z845" s="6" t="s">
        <v>48</v>
      </c>
      <c r="AA845" s="6" t="s">
        <v>314</v>
      </c>
    </row>
    <row r="846" spans="1:27" s="4" customFormat="1" ht="51.95" customHeight="1">
      <c r="A846" s="5">
        <v>0</v>
      </c>
      <c r="B846" s="6" t="s">
        <v>5511</v>
      </c>
      <c r="C846" s="7">
        <v>1854</v>
      </c>
      <c r="D846" s="8" t="s">
        <v>5512</v>
      </c>
      <c r="E846" s="8" t="s">
        <v>5513</v>
      </c>
      <c r="F846" s="8" t="s">
        <v>1633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401</v>
      </c>
      <c r="L846" s="9">
        <v>2024</v>
      </c>
      <c r="M846" s="8" t="s">
        <v>5514</v>
      </c>
      <c r="N846" s="8" t="s">
        <v>1171</v>
      </c>
      <c r="O846" s="8" t="s">
        <v>1172</v>
      </c>
      <c r="P846" s="6" t="s">
        <v>43</v>
      </c>
      <c r="Q846" s="8" t="s">
        <v>44</v>
      </c>
      <c r="R846" s="10" t="s">
        <v>3226</v>
      </c>
      <c r="S846" s="11" t="s">
        <v>5515</v>
      </c>
      <c r="T846" s="6"/>
      <c r="U846" s="28" t="str">
        <f>HYPERLINK("https://media.infra-m.ru/2144/2144968/cover/2144968.jpg", "Обложка")</f>
        <v>Обложка</v>
      </c>
      <c r="V846" s="28" t="str">
        <f>HYPERLINK("https://znanium.ru/catalog/product/2100014", "Ознакомиться")</f>
        <v>Ознакомиться</v>
      </c>
      <c r="W846" s="8" t="s">
        <v>1637</v>
      </c>
      <c r="X846" s="6"/>
      <c r="Y846" s="6"/>
      <c r="Z846" s="6" t="s">
        <v>48</v>
      </c>
      <c r="AA846" s="6" t="s">
        <v>372</v>
      </c>
    </row>
    <row r="847" spans="1:27" s="4" customFormat="1" ht="51.95" customHeight="1">
      <c r="A847" s="5">
        <v>0</v>
      </c>
      <c r="B847" s="6" t="s">
        <v>5516</v>
      </c>
      <c r="C847" s="13">
        <v>890</v>
      </c>
      <c r="D847" s="8" t="s">
        <v>5517</v>
      </c>
      <c r="E847" s="8" t="s">
        <v>5518</v>
      </c>
      <c r="F847" s="8" t="s">
        <v>4396</v>
      </c>
      <c r="G847" s="6" t="s">
        <v>66</v>
      </c>
      <c r="H847" s="6" t="s">
        <v>283</v>
      </c>
      <c r="I847" s="8" t="s">
        <v>39</v>
      </c>
      <c r="J847" s="9">
        <v>1</v>
      </c>
      <c r="K847" s="9">
        <v>192</v>
      </c>
      <c r="L847" s="9">
        <v>2024</v>
      </c>
      <c r="M847" s="8" t="s">
        <v>5519</v>
      </c>
      <c r="N847" s="8" t="s">
        <v>68</v>
      </c>
      <c r="O847" s="8" t="s">
        <v>327</v>
      </c>
      <c r="P847" s="6" t="s">
        <v>43</v>
      </c>
      <c r="Q847" s="8" t="s">
        <v>44</v>
      </c>
      <c r="R847" s="10" t="s">
        <v>5520</v>
      </c>
      <c r="S847" s="11" t="s">
        <v>5521</v>
      </c>
      <c r="T847" s="6"/>
      <c r="U847" s="28" t="str">
        <f>HYPERLINK("https://media.infra-m.ru/2085/2085093/cover/2085093.jpg", "Обложка")</f>
        <v>Обложка</v>
      </c>
      <c r="V847" s="28" t="str">
        <f>HYPERLINK("https://znanium.ru/catalog/product/2085093", "Ознакомиться")</f>
        <v>Ознакомиться</v>
      </c>
      <c r="W847" s="8" t="s">
        <v>3714</v>
      </c>
      <c r="X847" s="6"/>
      <c r="Y847" s="6" t="s">
        <v>30</v>
      </c>
      <c r="Z847" s="6"/>
      <c r="AA847" s="6" t="s">
        <v>221</v>
      </c>
    </row>
    <row r="848" spans="1:27" s="4" customFormat="1" ht="42" customHeight="1">
      <c r="A848" s="5">
        <v>0</v>
      </c>
      <c r="B848" s="6" t="s">
        <v>5522</v>
      </c>
      <c r="C848" s="7">
        <v>1130</v>
      </c>
      <c r="D848" s="8" t="s">
        <v>5523</v>
      </c>
      <c r="E848" s="8" t="s">
        <v>5524</v>
      </c>
      <c r="F848" s="8" t="s">
        <v>3696</v>
      </c>
      <c r="G848" s="6" t="s">
        <v>66</v>
      </c>
      <c r="H848" s="6" t="s">
        <v>116</v>
      </c>
      <c r="I848" s="8" t="s">
        <v>39</v>
      </c>
      <c r="J848" s="9">
        <v>1</v>
      </c>
      <c r="K848" s="9">
        <v>251</v>
      </c>
      <c r="L848" s="9">
        <v>2023</v>
      </c>
      <c r="M848" s="8" t="s">
        <v>5525</v>
      </c>
      <c r="N848" s="8" t="s">
        <v>68</v>
      </c>
      <c r="O848" s="8" t="s">
        <v>327</v>
      </c>
      <c r="P848" s="6" t="s">
        <v>43</v>
      </c>
      <c r="Q848" s="8" t="s">
        <v>44</v>
      </c>
      <c r="R848" s="10" t="s">
        <v>4939</v>
      </c>
      <c r="S848" s="11"/>
      <c r="T848" s="6"/>
      <c r="U848" s="28" t="str">
        <f>HYPERLINK("https://media.infra-m.ru/1914/1914070/cover/1914070.jpg", "Обложка")</f>
        <v>Обложка</v>
      </c>
      <c r="V848" s="28" t="str">
        <f>HYPERLINK("https://znanium.ru/catalog/product/1914070", "Ознакомиться")</f>
        <v>Ознакомиться</v>
      </c>
      <c r="W848" s="8" t="s">
        <v>431</v>
      </c>
      <c r="X848" s="6"/>
      <c r="Y848" s="6"/>
      <c r="Z848" s="6" t="s">
        <v>48</v>
      </c>
      <c r="AA848" s="6" t="s">
        <v>656</v>
      </c>
    </row>
    <row r="849" spans="1:27" s="4" customFormat="1" ht="51.95" customHeight="1">
      <c r="A849" s="5">
        <v>0</v>
      </c>
      <c r="B849" s="6" t="s">
        <v>5526</v>
      </c>
      <c r="C849" s="13">
        <v>840</v>
      </c>
      <c r="D849" s="8" t="s">
        <v>5527</v>
      </c>
      <c r="E849" s="8" t="s">
        <v>5528</v>
      </c>
      <c r="F849" s="8" t="s">
        <v>5529</v>
      </c>
      <c r="G849" s="6" t="s">
        <v>66</v>
      </c>
      <c r="H849" s="6" t="s">
        <v>79</v>
      </c>
      <c r="I849" s="8" t="s">
        <v>39</v>
      </c>
      <c r="J849" s="9">
        <v>1</v>
      </c>
      <c r="K849" s="9">
        <v>178</v>
      </c>
      <c r="L849" s="9">
        <v>2024</v>
      </c>
      <c r="M849" s="8" t="s">
        <v>5530</v>
      </c>
      <c r="N849" s="8" t="s">
        <v>1171</v>
      </c>
      <c r="O849" s="8" t="s">
        <v>1172</v>
      </c>
      <c r="P849" s="6" t="s">
        <v>70</v>
      </c>
      <c r="Q849" s="8" t="s">
        <v>44</v>
      </c>
      <c r="R849" s="10" t="s">
        <v>1302</v>
      </c>
      <c r="S849" s="11" t="s">
        <v>5531</v>
      </c>
      <c r="T849" s="6"/>
      <c r="U849" s="28" t="str">
        <f>HYPERLINK("https://media.infra-m.ru/2079/2079296/cover/2079296.jpg", "Обложка")</f>
        <v>Обложка</v>
      </c>
      <c r="V849" s="28" t="str">
        <f>HYPERLINK("https://znanium.ru/catalog/product/2079296", "Ознакомиться")</f>
        <v>Ознакомиться</v>
      </c>
      <c r="W849" s="8" t="s">
        <v>1863</v>
      </c>
      <c r="X849" s="6"/>
      <c r="Y849" s="6"/>
      <c r="Z849" s="6" t="s">
        <v>687</v>
      </c>
      <c r="AA849" s="6" t="s">
        <v>656</v>
      </c>
    </row>
    <row r="850" spans="1:27" s="4" customFormat="1" ht="42" customHeight="1">
      <c r="A850" s="5">
        <v>0</v>
      </c>
      <c r="B850" s="6" t="s">
        <v>5532</v>
      </c>
      <c r="C850" s="7">
        <v>1057</v>
      </c>
      <c r="D850" s="8" t="s">
        <v>5533</v>
      </c>
      <c r="E850" s="8" t="s">
        <v>5534</v>
      </c>
      <c r="F850" s="8" t="s">
        <v>5535</v>
      </c>
      <c r="G850" s="6" t="s">
        <v>54</v>
      </c>
      <c r="H850" s="6" t="s">
        <v>79</v>
      </c>
      <c r="I850" s="8" t="s">
        <v>39</v>
      </c>
      <c r="J850" s="9">
        <v>1</v>
      </c>
      <c r="K850" s="9">
        <v>112</v>
      </c>
      <c r="L850" s="9">
        <v>2024</v>
      </c>
      <c r="M850" s="8" t="s">
        <v>5536</v>
      </c>
      <c r="N850" s="8" t="s">
        <v>41</v>
      </c>
      <c r="O850" s="8" t="s">
        <v>1222</v>
      </c>
      <c r="P850" s="6" t="s">
        <v>43</v>
      </c>
      <c r="Q850" s="8" t="s">
        <v>44</v>
      </c>
      <c r="R850" s="10" t="s">
        <v>5537</v>
      </c>
      <c r="S850" s="11"/>
      <c r="T850" s="6"/>
      <c r="U850" s="28" t="str">
        <f>HYPERLINK("https://media.infra-m.ru/2129/2129205/cover/2129205.jpg", "Обложка")</f>
        <v>Обложка</v>
      </c>
      <c r="V850" s="28" t="str">
        <f>HYPERLINK("https://znanium.ru/catalog/product/1081171", "Ознакомиться")</f>
        <v>Ознакомиться</v>
      </c>
      <c r="W850" s="8" t="s">
        <v>5538</v>
      </c>
      <c r="X850" s="6"/>
      <c r="Y850" s="6"/>
      <c r="Z850" s="6"/>
      <c r="AA850" s="6" t="s">
        <v>587</v>
      </c>
    </row>
    <row r="851" spans="1:27" s="4" customFormat="1" ht="51.95" customHeight="1">
      <c r="A851" s="5">
        <v>0</v>
      </c>
      <c r="B851" s="6" t="s">
        <v>5539</v>
      </c>
      <c r="C851" s="7">
        <v>1380</v>
      </c>
      <c r="D851" s="8" t="s">
        <v>5540</v>
      </c>
      <c r="E851" s="8" t="s">
        <v>5541</v>
      </c>
      <c r="F851" s="8" t="s">
        <v>2900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300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43</v>
      </c>
      <c r="Q851" s="8" t="s">
        <v>44</v>
      </c>
      <c r="R851" s="10" t="s">
        <v>5543</v>
      </c>
      <c r="S851" s="11" t="s">
        <v>4438</v>
      </c>
      <c r="T851" s="6"/>
      <c r="U851" s="28" t="str">
        <f>HYPERLINK("https://media.infra-m.ru/2078/2078385/cover/2078385.jpg", "Обложка")</f>
        <v>Обложка</v>
      </c>
      <c r="V851" s="28" t="str">
        <f>HYPERLINK("https://znanium.ru/catalog/product/2078385", "Ознакомиться")</f>
        <v>Ознакомиться</v>
      </c>
      <c r="W851" s="8" t="s">
        <v>2904</v>
      </c>
      <c r="X851" s="6"/>
      <c r="Y851" s="6"/>
      <c r="Z851" s="6" t="s">
        <v>48</v>
      </c>
      <c r="AA851" s="6" t="s">
        <v>414</v>
      </c>
    </row>
    <row r="852" spans="1:27" s="4" customFormat="1" ht="51.95" customHeight="1">
      <c r="A852" s="5">
        <v>0</v>
      </c>
      <c r="B852" s="6" t="s">
        <v>5544</v>
      </c>
      <c r="C852" s="13">
        <v>900</v>
      </c>
      <c r="D852" s="8" t="s">
        <v>5545</v>
      </c>
      <c r="E852" s="8" t="s">
        <v>5546</v>
      </c>
      <c r="F852" s="8" t="s">
        <v>5547</v>
      </c>
      <c r="G852" s="6" t="s">
        <v>66</v>
      </c>
      <c r="H852" s="6" t="s">
        <v>38</v>
      </c>
      <c r="I852" s="8" t="s">
        <v>39</v>
      </c>
      <c r="J852" s="9">
        <v>1</v>
      </c>
      <c r="K852" s="9">
        <v>189</v>
      </c>
      <c r="L852" s="9">
        <v>2024</v>
      </c>
      <c r="M852" s="8" t="s">
        <v>5548</v>
      </c>
      <c r="N852" s="8" t="s">
        <v>1171</v>
      </c>
      <c r="O852" s="8" t="s">
        <v>1172</v>
      </c>
      <c r="P852" s="6" t="s">
        <v>43</v>
      </c>
      <c r="Q852" s="8" t="s">
        <v>44</v>
      </c>
      <c r="R852" s="10" t="s">
        <v>1737</v>
      </c>
      <c r="S852" s="11" t="s">
        <v>5549</v>
      </c>
      <c r="T852" s="6"/>
      <c r="U852" s="28" t="str">
        <f>HYPERLINK("https://media.infra-m.ru/2131/2131867/cover/2131867.jpg", "Обложка")</f>
        <v>Обложка</v>
      </c>
      <c r="V852" s="28" t="str">
        <f>HYPERLINK("https://znanium.ru/catalog/product/2131867", "Ознакомиться")</f>
        <v>Ознакомиться</v>
      </c>
      <c r="W852" s="8" t="s">
        <v>5550</v>
      </c>
      <c r="X852" s="6"/>
      <c r="Y852" s="6"/>
      <c r="Z852" s="6" t="s">
        <v>3740</v>
      </c>
      <c r="AA852" s="6" t="s">
        <v>94</v>
      </c>
    </row>
    <row r="853" spans="1:27" s="4" customFormat="1" ht="51.95" customHeight="1">
      <c r="A853" s="5">
        <v>0</v>
      </c>
      <c r="B853" s="6" t="s">
        <v>5551</v>
      </c>
      <c r="C853" s="13">
        <v>890</v>
      </c>
      <c r="D853" s="8" t="s">
        <v>5552</v>
      </c>
      <c r="E853" s="8" t="s">
        <v>5553</v>
      </c>
      <c r="F853" s="8" t="s">
        <v>5547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197</v>
      </c>
      <c r="L853" s="9">
        <v>2022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5556</v>
      </c>
      <c r="T853" s="6"/>
      <c r="U853" s="28" t="str">
        <f>HYPERLINK("https://media.infra-m.ru/1869/1869678/cover/1869678.jpg", "Обложка")</f>
        <v>Обложка</v>
      </c>
      <c r="V853" s="28" t="str">
        <f>HYPERLINK("https://znanium.ru/catalog/product/1869678", "Ознакомиться")</f>
        <v>Ознакомиться</v>
      </c>
      <c r="W853" s="8" t="s">
        <v>5550</v>
      </c>
      <c r="X853" s="6"/>
      <c r="Y853" s="6"/>
      <c r="Z853" s="6"/>
      <c r="AA853" s="6" t="s">
        <v>893</v>
      </c>
    </row>
    <row r="854" spans="1:27" s="4" customFormat="1" ht="51.95" customHeight="1">
      <c r="A854" s="5">
        <v>0</v>
      </c>
      <c r="B854" s="6" t="s">
        <v>5557</v>
      </c>
      <c r="C854" s="7">
        <v>1170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248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1157</v>
      </c>
      <c r="Q854" s="8" t="s">
        <v>44</v>
      </c>
      <c r="R854" s="10" t="s">
        <v>1969</v>
      </c>
      <c r="S854" s="11" t="s">
        <v>5562</v>
      </c>
      <c r="T854" s="6"/>
      <c r="U854" s="28" t="str">
        <f>HYPERLINK("https://media.infra-m.ru/2116/2116862/cover/2116862.jpg", "Обложка")</f>
        <v>Обложка</v>
      </c>
      <c r="V854" s="28" t="str">
        <f>HYPERLINK("https://znanium.ru/catalog/product/2116862", "Ознакомиться")</f>
        <v>Ознакомиться</v>
      </c>
      <c r="W854" s="8" t="s">
        <v>1731</v>
      </c>
      <c r="X854" s="6"/>
      <c r="Y854" s="6"/>
      <c r="Z854" s="6" t="s">
        <v>48</v>
      </c>
      <c r="AA854" s="6" t="s">
        <v>213</v>
      </c>
    </row>
    <row r="855" spans="1:27" s="4" customFormat="1" ht="51.95" customHeight="1">
      <c r="A855" s="5">
        <v>0</v>
      </c>
      <c r="B855" s="6" t="s">
        <v>5563</v>
      </c>
      <c r="C855" s="13">
        <v>750</v>
      </c>
      <c r="D855" s="8" t="s">
        <v>5564</v>
      </c>
      <c r="E855" s="8" t="s">
        <v>5565</v>
      </c>
      <c r="F855" s="8" t="s">
        <v>5566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158</v>
      </c>
      <c r="L855" s="9">
        <v>2024</v>
      </c>
      <c r="M855" s="8" t="s">
        <v>5567</v>
      </c>
      <c r="N855" s="8" t="s">
        <v>1171</v>
      </c>
      <c r="O855" s="8" t="s">
        <v>1172</v>
      </c>
      <c r="P855" s="6" t="s">
        <v>1157</v>
      </c>
      <c r="Q855" s="8" t="s">
        <v>44</v>
      </c>
      <c r="R855" s="10" t="s">
        <v>1302</v>
      </c>
      <c r="S855" s="11" t="s">
        <v>5568</v>
      </c>
      <c r="T855" s="6"/>
      <c r="U855" s="28" t="str">
        <f>HYPERLINK("https://media.infra-m.ru/2139/2139102/cover/2139102.jpg", "Обложка")</f>
        <v>Обложка</v>
      </c>
      <c r="V855" s="28" t="str">
        <f>HYPERLINK("https://znanium.ru/catalog/product/2139102", "Ознакомиться")</f>
        <v>Ознакомиться</v>
      </c>
      <c r="W855" s="8" t="s">
        <v>1731</v>
      </c>
      <c r="X855" s="6"/>
      <c r="Y855" s="6"/>
      <c r="Z855" s="6" t="s">
        <v>48</v>
      </c>
      <c r="AA855" s="6" t="s">
        <v>213</v>
      </c>
    </row>
    <row r="856" spans="1:27" s="4" customFormat="1" ht="51.95" customHeight="1">
      <c r="A856" s="5">
        <v>0</v>
      </c>
      <c r="B856" s="6" t="s">
        <v>5569</v>
      </c>
      <c r="C856" s="7">
        <v>1040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38</v>
      </c>
      <c r="I856" s="8" t="s">
        <v>56</v>
      </c>
      <c r="J856" s="9">
        <v>1</v>
      </c>
      <c r="K856" s="9">
        <v>224</v>
      </c>
      <c r="L856" s="9">
        <v>2023</v>
      </c>
      <c r="M856" s="8" t="s">
        <v>5573</v>
      </c>
      <c r="N856" s="8" t="s">
        <v>41</v>
      </c>
      <c r="O856" s="8" t="s">
        <v>42</v>
      </c>
      <c r="P856" s="6" t="s">
        <v>70</v>
      </c>
      <c r="Q856" s="8" t="s">
        <v>44</v>
      </c>
      <c r="R856" s="10" t="s">
        <v>5574</v>
      </c>
      <c r="S856" s="11" t="s">
        <v>5575</v>
      </c>
      <c r="T856" s="6"/>
      <c r="U856" s="28" t="str">
        <f>HYPERLINK("https://media.infra-m.ru/1912/1912099/cover/1912099.jpg", "Обложка")</f>
        <v>Обложка</v>
      </c>
      <c r="V856" s="28" t="str">
        <f>HYPERLINK("https://znanium.ru/catalog/product/1912099", "Ознакомиться")</f>
        <v>Ознакомиться</v>
      </c>
      <c r="W856" s="8" t="s">
        <v>2393</v>
      </c>
      <c r="X856" s="6"/>
      <c r="Y856" s="6"/>
      <c r="Z856" s="6"/>
      <c r="AA856" s="6" t="s">
        <v>1590</v>
      </c>
    </row>
    <row r="857" spans="1:27" s="4" customFormat="1" ht="51.95" customHeight="1">
      <c r="A857" s="5">
        <v>0</v>
      </c>
      <c r="B857" s="6" t="s">
        <v>5576</v>
      </c>
      <c r="C857" s="7">
        <v>1380</v>
      </c>
      <c r="D857" s="8" t="s">
        <v>5577</v>
      </c>
      <c r="E857" s="8" t="s">
        <v>5578</v>
      </c>
      <c r="F857" s="8" t="s">
        <v>1529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305</v>
      </c>
      <c r="L857" s="9">
        <v>2023</v>
      </c>
      <c r="M857" s="8" t="s">
        <v>5579</v>
      </c>
      <c r="N857" s="8" t="s">
        <v>41</v>
      </c>
      <c r="O857" s="8" t="s">
        <v>42</v>
      </c>
      <c r="P857" s="6" t="s">
        <v>43</v>
      </c>
      <c r="Q857" s="8" t="s">
        <v>44</v>
      </c>
      <c r="R857" s="10" t="s">
        <v>465</v>
      </c>
      <c r="S857" s="11" t="s">
        <v>5580</v>
      </c>
      <c r="T857" s="6" t="s">
        <v>110</v>
      </c>
      <c r="U857" s="28" t="str">
        <f>HYPERLINK("https://media.infra-m.ru/1981/1981642/cover/1981642.jpg", "Обложка")</f>
        <v>Обложка</v>
      </c>
      <c r="V857" s="28" t="str">
        <f>HYPERLINK("https://znanium.ru/catalog/product/1981642", "Ознакомиться")</f>
        <v>Ознакомиться</v>
      </c>
      <c r="W857" s="8" t="s">
        <v>83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1390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283</v>
      </c>
      <c r="I858" s="8" t="s">
        <v>39</v>
      </c>
      <c r="J858" s="9">
        <v>1</v>
      </c>
      <c r="K858" s="9">
        <v>384</v>
      </c>
      <c r="L858" s="9">
        <v>2021</v>
      </c>
      <c r="M858" s="8" t="s">
        <v>5585</v>
      </c>
      <c r="N858" s="8" t="s">
        <v>41</v>
      </c>
      <c r="O858" s="8" t="s">
        <v>42</v>
      </c>
      <c r="P858" s="6" t="s">
        <v>43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HYPERLINK("https://media.infra-m.ru/1214/1214882/cover/1214882.jpg", "Обложка")</f>
        <v>Обложка</v>
      </c>
      <c r="V858" s="28" t="str">
        <f>HYPERLINK("https://znanium.ru/catalog/product/1214882", "Ознакомиться")</f>
        <v>Ознакомиться</v>
      </c>
      <c r="W858" s="8" t="s">
        <v>726</v>
      </c>
      <c r="X858" s="6"/>
      <c r="Y858" s="6"/>
      <c r="Z858" s="6"/>
      <c r="AA858" s="6" t="s">
        <v>872</v>
      </c>
    </row>
    <row r="859" spans="1:27" s="4" customFormat="1" ht="51.95" customHeight="1">
      <c r="A859" s="5">
        <v>0</v>
      </c>
      <c r="B859" s="6" t="s">
        <v>5588</v>
      </c>
      <c r="C859" s="13">
        <v>790</v>
      </c>
      <c r="D859" s="8" t="s">
        <v>5589</v>
      </c>
      <c r="E859" s="8" t="s">
        <v>5590</v>
      </c>
      <c r="F859" s="8" t="s">
        <v>2009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178</v>
      </c>
      <c r="L859" s="9">
        <v>2022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1165</v>
      </c>
      <c r="S859" s="11" t="s">
        <v>5592</v>
      </c>
      <c r="T859" s="6"/>
      <c r="U859" s="28" t="str">
        <f>HYPERLINK("https://media.infra-m.ru/1853/1853495/cover/1853495.jpg", "Обложка")</f>
        <v>Обложка</v>
      </c>
      <c r="V859" s="28" t="str">
        <f>HYPERLINK("https://znanium.ru/catalog/product/1853495", "Ознакомиться")</f>
        <v>Ознакомиться</v>
      </c>
      <c r="W859" s="8" t="s">
        <v>2013</v>
      </c>
      <c r="X859" s="6"/>
      <c r="Y859" s="6"/>
      <c r="Z859" s="6"/>
      <c r="AA859" s="6" t="s">
        <v>475</v>
      </c>
    </row>
    <row r="860" spans="1:27" s="4" customFormat="1" ht="51.95" customHeight="1">
      <c r="A860" s="5">
        <v>0</v>
      </c>
      <c r="B860" s="6" t="s">
        <v>5593</v>
      </c>
      <c r="C860" s="7">
        <v>1550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716</v>
      </c>
      <c r="I860" s="8" t="s">
        <v>39</v>
      </c>
      <c r="J860" s="9">
        <v>1</v>
      </c>
      <c r="K860" s="9">
        <v>336</v>
      </c>
      <c r="L860" s="9">
        <v>2024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2025</v>
      </c>
      <c r="S860" s="11" t="s">
        <v>5598</v>
      </c>
      <c r="T860" s="6"/>
      <c r="U860" s="28" t="str">
        <f>HYPERLINK("https://media.infra-m.ru/2083/2083407/cover/2083407.jpg", "Обложка")</f>
        <v>Обложка</v>
      </c>
      <c r="V860" s="28" t="str">
        <f>HYPERLINK("https://znanium.ru/catalog/product/2083407", "Ознакомиться")</f>
        <v>Ознакомиться</v>
      </c>
      <c r="W860" s="8" t="s">
        <v>5599</v>
      </c>
      <c r="X860" s="6"/>
      <c r="Y860" s="6" t="s">
        <v>30</v>
      </c>
      <c r="Z860" s="6"/>
      <c r="AA860" s="6" t="s">
        <v>534</v>
      </c>
    </row>
    <row r="861" spans="1:27" s="4" customFormat="1" ht="51.95" customHeight="1">
      <c r="A861" s="5">
        <v>0</v>
      </c>
      <c r="B861" s="6" t="s">
        <v>5600</v>
      </c>
      <c r="C861" s="7">
        <v>2070</v>
      </c>
      <c r="D861" s="8" t="s">
        <v>5601</v>
      </c>
      <c r="E861" s="8" t="s">
        <v>5602</v>
      </c>
      <c r="F861" s="8" t="s">
        <v>5603</v>
      </c>
      <c r="G861" s="6" t="s">
        <v>54</v>
      </c>
      <c r="H861" s="6" t="s">
        <v>79</v>
      </c>
      <c r="I861" s="8" t="s">
        <v>39</v>
      </c>
      <c r="J861" s="9">
        <v>1</v>
      </c>
      <c r="K861" s="9">
        <v>214</v>
      </c>
      <c r="L861" s="9">
        <v>2024</v>
      </c>
      <c r="M861" s="8" t="s">
        <v>5604</v>
      </c>
      <c r="N861" s="8" t="s">
        <v>41</v>
      </c>
      <c r="O861" s="8" t="s">
        <v>160</v>
      </c>
      <c r="P861" s="6" t="s">
        <v>43</v>
      </c>
      <c r="Q861" s="8" t="s">
        <v>44</v>
      </c>
      <c r="R861" s="10" t="s">
        <v>5605</v>
      </c>
      <c r="S861" s="11" t="s">
        <v>5606</v>
      </c>
      <c r="T861" s="6"/>
      <c r="U861" s="28" t="str">
        <f>HYPERLINK("https://media.infra-m.ru/2116/2116708/cover/2116708.jpg", "Обложка")</f>
        <v>Обложка</v>
      </c>
      <c r="V861" s="28" t="str">
        <f>HYPERLINK("https://znanium.ru/catalog/product/2116708", "Ознакомиться")</f>
        <v>Ознакомиться</v>
      </c>
      <c r="W861" s="8"/>
      <c r="X861" s="6"/>
      <c r="Y861" s="6"/>
      <c r="Z861" s="6"/>
      <c r="AA861" s="6" t="s">
        <v>366</v>
      </c>
    </row>
    <row r="862" spans="1:27" s="4" customFormat="1" ht="51.95" customHeight="1">
      <c r="A862" s="5">
        <v>0</v>
      </c>
      <c r="B862" s="6" t="s">
        <v>5607</v>
      </c>
      <c r="C862" s="7">
        <v>2112</v>
      </c>
      <c r="D862" s="8" t="s">
        <v>5608</v>
      </c>
      <c r="E862" s="8" t="s">
        <v>5609</v>
      </c>
      <c r="F862" s="8" t="s">
        <v>5603</v>
      </c>
      <c r="G862" s="6" t="s">
        <v>66</v>
      </c>
      <c r="H862" s="6" t="s">
        <v>38</v>
      </c>
      <c r="I862" s="8" t="s">
        <v>39</v>
      </c>
      <c r="J862" s="9">
        <v>1</v>
      </c>
      <c r="K862" s="9">
        <v>352</v>
      </c>
      <c r="L862" s="9">
        <v>2024</v>
      </c>
      <c r="M862" s="8" t="s">
        <v>5610</v>
      </c>
      <c r="N862" s="8" t="s">
        <v>41</v>
      </c>
      <c r="O862" s="8" t="s">
        <v>160</v>
      </c>
      <c r="P862" s="6" t="s">
        <v>43</v>
      </c>
      <c r="Q862" s="8" t="s">
        <v>44</v>
      </c>
      <c r="R862" s="10" t="s">
        <v>5611</v>
      </c>
      <c r="S862" s="11" t="s">
        <v>260</v>
      </c>
      <c r="T862" s="6"/>
      <c r="U862" s="28" t="str">
        <f>HYPERLINK("https://media.infra-m.ru/2103/2103207/cover/2103207.jpg", "Обложка")</f>
        <v>Обложка</v>
      </c>
      <c r="V862" s="28" t="str">
        <f>HYPERLINK("https://znanium.ru/catalog/product/2103207", "Ознакомиться")</f>
        <v>Ознакомиться</v>
      </c>
      <c r="W862" s="8"/>
      <c r="X862" s="6"/>
      <c r="Y862" s="6"/>
      <c r="Z862" s="6"/>
      <c r="AA862" s="6" t="s">
        <v>1780</v>
      </c>
    </row>
    <row r="863" spans="1:27" s="4" customFormat="1" ht="51.95" customHeight="1">
      <c r="A863" s="5">
        <v>0</v>
      </c>
      <c r="B863" s="6" t="s">
        <v>5612</v>
      </c>
      <c r="C863" s="13">
        <v>550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38</v>
      </c>
      <c r="I863" s="8" t="s">
        <v>39</v>
      </c>
      <c r="J863" s="9">
        <v>1</v>
      </c>
      <c r="K863" s="9">
        <v>95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HYPERLINK("https://media.infra-m.ru/2138/2138785/cover/2138785.jpg", "Обложка")</f>
        <v>Обложка</v>
      </c>
      <c r="V863" s="28" t="str">
        <f>HYPERLINK("https://znanium.ru/catalog/product/2138785", "Ознакомиться")</f>
        <v>Ознакомиться</v>
      </c>
      <c r="W863" s="8" t="s">
        <v>5619</v>
      </c>
      <c r="X863" s="6"/>
      <c r="Y863" s="6"/>
      <c r="Z863" s="6"/>
      <c r="AA863" s="6" t="s">
        <v>237</v>
      </c>
    </row>
    <row r="864" spans="1:27" s="4" customFormat="1" ht="51.95" customHeight="1">
      <c r="A864" s="5">
        <v>0</v>
      </c>
      <c r="B864" s="6" t="s">
        <v>5620</v>
      </c>
      <c r="C864" s="7">
        <v>1524</v>
      </c>
      <c r="D864" s="8" t="s">
        <v>5621</v>
      </c>
      <c r="E864" s="8" t="s">
        <v>5622</v>
      </c>
      <c r="F864" s="8" t="s">
        <v>5623</v>
      </c>
      <c r="G864" s="6" t="s">
        <v>66</v>
      </c>
      <c r="H864" s="6" t="s">
        <v>283</v>
      </c>
      <c r="I864" s="8" t="s">
        <v>39</v>
      </c>
      <c r="J864" s="9">
        <v>1</v>
      </c>
      <c r="K864" s="9">
        <v>272</v>
      </c>
      <c r="L864" s="9">
        <v>2024</v>
      </c>
      <c r="M864" s="8" t="s">
        <v>5624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5625</v>
      </c>
      <c r="S864" s="11" t="s">
        <v>5626</v>
      </c>
      <c r="T864" s="6"/>
      <c r="U864" s="28" t="str">
        <f>HYPERLINK("https://media.infra-m.ru/2138/2138786/cover/2138786.jpg", "Обложка")</f>
        <v>Обложка</v>
      </c>
      <c r="V864" s="28" t="str">
        <f>HYPERLINK("https://znanium.ru/catalog/product/1447410", "Ознакомиться")</f>
        <v>Ознакомиться</v>
      </c>
      <c r="W864" s="8" t="s">
        <v>1707</v>
      </c>
      <c r="X864" s="6"/>
      <c r="Y864" s="6"/>
      <c r="Z864" s="6"/>
      <c r="AA864" s="6" t="s">
        <v>2858</v>
      </c>
    </row>
    <row r="865" spans="1:27" s="4" customFormat="1" ht="51.95" customHeight="1">
      <c r="A865" s="5">
        <v>0</v>
      </c>
      <c r="B865" s="6" t="s">
        <v>5627</v>
      </c>
      <c r="C865" s="13">
        <v>734</v>
      </c>
      <c r="D865" s="8" t="s">
        <v>5628</v>
      </c>
      <c r="E865" s="8" t="s">
        <v>5629</v>
      </c>
      <c r="F865" s="8" t="s">
        <v>5630</v>
      </c>
      <c r="G865" s="6" t="s">
        <v>37</v>
      </c>
      <c r="H865" s="6" t="s">
        <v>283</v>
      </c>
      <c r="I865" s="8"/>
      <c r="J865" s="9">
        <v>1</v>
      </c>
      <c r="K865" s="9">
        <v>160</v>
      </c>
      <c r="L865" s="9">
        <v>2023</v>
      </c>
      <c r="M865" s="8" t="s">
        <v>5631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5632</v>
      </c>
      <c r="S865" s="11" t="s">
        <v>5633</v>
      </c>
      <c r="T865" s="6"/>
      <c r="U865" s="28" t="str">
        <f>HYPERLINK("https://media.infra-m.ru/2021/2021442/cover/2021442.jpg", "Обложка")</f>
        <v>Обложка</v>
      </c>
      <c r="V865" s="28" t="str">
        <f>HYPERLINK("https://znanium.ru/catalog/product/961662", "Ознакомиться")</f>
        <v>Ознакомиться</v>
      </c>
      <c r="W865" s="8" t="s">
        <v>163</v>
      </c>
      <c r="X865" s="6"/>
      <c r="Y865" s="6"/>
      <c r="Z865" s="6" t="s">
        <v>48</v>
      </c>
      <c r="AA865" s="6" t="s">
        <v>94</v>
      </c>
    </row>
    <row r="866" spans="1:27" s="4" customFormat="1" ht="51.95" customHeight="1">
      <c r="A866" s="5">
        <v>0</v>
      </c>
      <c r="B866" s="6" t="s">
        <v>5634</v>
      </c>
      <c r="C866" s="7">
        <v>1744.9</v>
      </c>
      <c r="D866" s="8" t="s">
        <v>5635</v>
      </c>
      <c r="E866" s="8" t="s">
        <v>5636</v>
      </c>
      <c r="F866" s="8" t="s">
        <v>5637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415</v>
      </c>
      <c r="L866" s="9">
        <v>2022</v>
      </c>
      <c r="M866" s="8" t="s">
        <v>5638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202</v>
      </c>
      <c r="S866" s="11" t="s">
        <v>3290</v>
      </c>
      <c r="T866" s="6"/>
      <c r="U866" s="28" t="str">
        <f>HYPERLINK("https://media.infra-m.ru/1876/1876292/cover/1876292.jpg", "Обложка")</f>
        <v>Обложка</v>
      </c>
      <c r="V866" s="28" t="str">
        <f>HYPERLINK("https://znanium.ru/catalog/product/1113506", "Ознакомиться")</f>
        <v>Ознакомиться</v>
      </c>
      <c r="W866" s="8" t="s">
        <v>5639</v>
      </c>
      <c r="X866" s="6"/>
      <c r="Y866" s="6"/>
      <c r="Z866" s="6" t="s">
        <v>48</v>
      </c>
      <c r="AA866" s="6" t="s">
        <v>94</v>
      </c>
    </row>
    <row r="867" spans="1:27" s="4" customFormat="1" ht="42" customHeight="1">
      <c r="A867" s="5">
        <v>0</v>
      </c>
      <c r="B867" s="6" t="s">
        <v>5640</v>
      </c>
      <c r="C867" s="7">
        <v>1690</v>
      </c>
      <c r="D867" s="8" t="s">
        <v>5641</v>
      </c>
      <c r="E867" s="8" t="s">
        <v>5642</v>
      </c>
      <c r="F867" s="8" t="s">
        <v>2811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359</v>
      </c>
      <c r="L867" s="9">
        <v>2024</v>
      </c>
      <c r="M867" s="8" t="s">
        <v>5643</v>
      </c>
      <c r="N867" s="8" t="s">
        <v>118</v>
      </c>
      <c r="O867" s="8" t="s">
        <v>119</v>
      </c>
      <c r="P867" s="6" t="s">
        <v>43</v>
      </c>
      <c r="Q867" s="8" t="s">
        <v>44</v>
      </c>
      <c r="R867" s="10" t="s">
        <v>5644</v>
      </c>
      <c r="S867" s="11"/>
      <c r="T867" s="6"/>
      <c r="U867" s="28" t="str">
        <f>HYPERLINK("https://media.infra-m.ru/2137/2137498/cover/2137498.jpg", "Обложка")</f>
        <v>Обложка</v>
      </c>
      <c r="V867" s="28" t="str">
        <f>HYPERLINK("https://znanium.ru/catalog/product/2137498", "Ознакомиться")</f>
        <v>Ознакомиться</v>
      </c>
      <c r="W867" s="8" t="s">
        <v>73</v>
      </c>
      <c r="X867" s="6"/>
      <c r="Y867" s="6"/>
      <c r="Z867" s="6" t="s">
        <v>48</v>
      </c>
      <c r="AA867" s="6" t="s">
        <v>85</v>
      </c>
    </row>
    <row r="868" spans="1:27" s="4" customFormat="1" ht="51.95" customHeight="1">
      <c r="A868" s="5">
        <v>0</v>
      </c>
      <c r="B868" s="6" t="s">
        <v>5645</v>
      </c>
      <c r="C868" s="7">
        <v>1004.9</v>
      </c>
      <c r="D868" s="8" t="s">
        <v>5646</v>
      </c>
      <c r="E868" s="8" t="s">
        <v>5647</v>
      </c>
      <c r="F868" s="8" t="s">
        <v>5648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224</v>
      </c>
      <c r="L868" s="9">
        <v>2023</v>
      </c>
      <c r="M868" s="8" t="s">
        <v>5649</v>
      </c>
      <c r="N868" s="8" t="s">
        <v>41</v>
      </c>
      <c r="O868" s="8" t="s">
        <v>178</v>
      </c>
      <c r="P868" s="6" t="s">
        <v>43</v>
      </c>
      <c r="Q868" s="8" t="s">
        <v>44</v>
      </c>
      <c r="R868" s="10" t="s">
        <v>3647</v>
      </c>
      <c r="S868" s="11" t="s">
        <v>5650</v>
      </c>
      <c r="T868" s="6"/>
      <c r="U868" s="28" t="str">
        <f>HYPERLINK("https://media.infra-m.ru/1976/1976160/cover/1976160.jpg", "Обложка")</f>
        <v>Обложка</v>
      </c>
      <c r="V868" s="28" t="str">
        <f>HYPERLINK("https://znanium.ru/catalog/product/1091684",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51.95" customHeight="1">
      <c r="A869" s="5">
        <v>0</v>
      </c>
      <c r="B869" s="6" t="s">
        <v>5652</v>
      </c>
      <c r="C869" s="13">
        <v>974</v>
      </c>
      <c r="D869" s="8" t="s">
        <v>5653</v>
      </c>
      <c r="E869" s="8" t="s">
        <v>5654</v>
      </c>
      <c r="F869" s="8" t="s">
        <v>5655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208</v>
      </c>
      <c r="L869" s="9">
        <v>2024</v>
      </c>
      <c r="M869" s="8" t="s">
        <v>5656</v>
      </c>
      <c r="N869" s="8" t="s">
        <v>41</v>
      </c>
      <c r="O869" s="8" t="s">
        <v>178</v>
      </c>
      <c r="P869" s="6" t="s">
        <v>70</v>
      </c>
      <c r="Q869" s="8" t="s">
        <v>44</v>
      </c>
      <c r="R869" s="10" t="s">
        <v>5657</v>
      </c>
      <c r="S869" s="11" t="s">
        <v>5658</v>
      </c>
      <c r="T869" s="6"/>
      <c r="U869" s="28" t="str">
        <f>HYPERLINK("https://media.infra-m.ru/2138/2138045/cover/2138045.jpg", "Обложка")</f>
        <v>Обложка</v>
      </c>
      <c r="V869" s="28" t="str">
        <f>HYPERLINK("https://znanium.ru/catalog/product/1900985", "Ознакомиться")</f>
        <v>Ознакомиться</v>
      </c>
      <c r="W869" s="8" t="s">
        <v>5651</v>
      </c>
      <c r="X869" s="6"/>
      <c r="Y869" s="6"/>
      <c r="Z869" s="6"/>
      <c r="AA869" s="6" t="s">
        <v>3123</v>
      </c>
    </row>
    <row r="870" spans="1:27" s="4" customFormat="1" ht="51.95" customHeight="1">
      <c r="A870" s="5">
        <v>0</v>
      </c>
      <c r="B870" s="6" t="s">
        <v>5659</v>
      </c>
      <c r="C870" s="7">
        <v>1120</v>
      </c>
      <c r="D870" s="8" t="s">
        <v>5660</v>
      </c>
      <c r="E870" s="8" t="s">
        <v>5661</v>
      </c>
      <c r="F870" s="8" t="s">
        <v>3374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238</v>
      </c>
      <c r="L870" s="9">
        <v>2024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5663</v>
      </c>
      <c r="S870" s="11" t="s">
        <v>5664</v>
      </c>
      <c r="T870" s="6"/>
      <c r="U870" s="28" t="str">
        <f>HYPERLINK("https://media.infra-m.ru/2048/2048136/cover/2048136.jpg", "Обложка")</f>
        <v>Обложка</v>
      </c>
      <c r="V870" s="28" t="str">
        <f>HYPERLINK("https://znanium.ru/catalog/product/2048136", "Ознакомиться")</f>
        <v>Ознакомиться</v>
      </c>
      <c r="W870" s="8" t="s">
        <v>172</v>
      </c>
      <c r="X870" s="6"/>
      <c r="Y870" s="6"/>
      <c r="Z870" s="6"/>
      <c r="AA870" s="6" t="s">
        <v>288</v>
      </c>
    </row>
    <row r="871" spans="1:27" s="4" customFormat="1" ht="51.95" customHeight="1">
      <c r="A871" s="5">
        <v>0</v>
      </c>
      <c r="B871" s="6" t="s">
        <v>5665</v>
      </c>
      <c r="C871" s="7">
        <v>1690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358</v>
      </c>
      <c r="L871" s="9">
        <v>2024</v>
      </c>
      <c r="M871" s="8" t="s">
        <v>5669</v>
      </c>
      <c r="N871" s="8" t="s">
        <v>41</v>
      </c>
      <c r="O871" s="8" t="s">
        <v>227</v>
      </c>
      <c r="P871" s="6" t="s">
        <v>43</v>
      </c>
      <c r="Q871" s="8" t="s">
        <v>44</v>
      </c>
      <c r="R871" s="10" t="s">
        <v>1649</v>
      </c>
      <c r="S871" s="11" t="s">
        <v>5670</v>
      </c>
      <c r="T871" s="6"/>
      <c r="U871" s="28" t="str">
        <f>HYPERLINK("https://media.infra-m.ru/2139/2139017/cover/2139017.jpg", "Обложка")</f>
        <v>Обложка</v>
      </c>
      <c r="V871" s="28" t="str">
        <f>HYPERLINK("https://znanium.ru/catalog/product/2139017", "Ознакомиться")</f>
        <v>Ознакомиться</v>
      </c>
      <c r="W871" s="8"/>
      <c r="X871" s="6"/>
      <c r="Y871" s="6"/>
      <c r="Z871" s="6"/>
      <c r="AA871" s="6" t="s">
        <v>475</v>
      </c>
    </row>
    <row r="872" spans="1:27" s="4" customFormat="1" ht="51.95" customHeight="1">
      <c r="A872" s="5">
        <v>0</v>
      </c>
      <c r="B872" s="6" t="s">
        <v>5671</v>
      </c>
      <c r="C872" s="7">
        <v>1084</v>
      </c>
      <c r="D872" s="8" t="s">
        <v>5672</v>
      </c>
      <c r="E872" s="8" t="s">
        <v>5673</v>
      </c>
      <c r="F872" s="8" t="s">
        <v>5674</v>
      </c>
      <c r="G872" s="6" t="s">
        <v>37</v>
      </c>
      <c r="H872" s="6" t="s">
        <v>79</v>
      </c>
      <c r="I872" s="8" t="s">
        <v>39</v>
      </c>
      <c r="J872" s="9">
        <v>1</v>
      </c>
      <c r="K872" s="9">
        <v>235</v>
      </c>
      <c r="L872" s="9">
        <v>2024</v>
      </c>
      <c r="M872" s="8" t="s">
        <v>5675</v>
      </c>
      <c r="N872" s="8" t="s">
        <v>41</v>
      </c>
      <c r="O872" s="8" t="s">
        <v>227</v>
      </c>
      <c r="P872" s="6" t="s">
        <v>43</v>
      </c>
      <c r="Q872" s="8" t="s">
        <v>44</v>
      </c>
      <c r="R872" s="10" t="s">
        <v>1662</v>
      </c>
      <c r="S872" s="11" t="s">
        <v>5676</v>
      </c>
      <c r="T872" s="6"/>
      <c r="U872" s="28" t="str">
        <f>HYPERLINK("https://media.infra-m.ru/2079/2079247/cover/2079247.jpg", "Обложка")</f>
        <v>Обложка</v>
      </c>
      <c r="V872" s="28" t="str">
        <f>HYPERLINK("https://znanium.ru/catalog/product/1236299", "Ознакомиться")</f>
        <v>Ознакомиться</v>
      </c>
      <c r="W872" s="8" t="s">
        <v>5677</v>
      </c>
      <c r="X872" s="6"/>
      <c r="Y872" s="6"/>
      <c r="Z872" s="6"/>
      <c r="AA872" s="6" t="s">
        <v>164</v>
      </c>
    </row>
    <row r="873" spans="1:27" s="4" customFormat="1" ht="51.95" customHeight="1">
      <c r="A873" s="5">
        <v>0</v>
      </c>
      <c r="B873" s="6" t="s">
        <v>5678</v>
      </c>
      <c r="C873" s="7">
        <v>1330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286</v>
      </c>
      <c r="L873" s="9">
        <v>2024</v>
      </c>
      <c r="M873" s="8" t="s">
        <v>5682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5683</v>
      </c>
      <c r="S873" s="11" t="s">
        <v>5684</v>
      </c>
      <c r="T873" s="6"/>
      <c r="U873" s="28" t="str">
        <f>HYPERLINK("https://media.infra-m.ru/2129/2129206/cover/2129206.jpg", "Обложка")</f>
        <v>Обложка</v>
      </c>
      <c r="V873" s="28" t="str">
        <f>HYPERLINK("https://znanium.ru/catalog/product/2129206", "Ознакомиться")</f>
        <v>Ознакомиться</v>
      </c>
      <c r="W873" s="8" t="s">
        <v>2741</v>
      </c>
      <c r="X873" s="6"/>
      <c r="Y873" s="6"/>
      <c r="Z873" s="6" t="s">
        <v>687</v>
      </c>
      <c r="AA873" s="6" t="s">
        <v>459</v>
      </c>
    </row>
    <row r="874" spans="1:27" s="4" customFormat="1" ht="51.95" customHeight="1">
      <c r="A874" s="5">
        <v>0</v>
      </c>
      <c r="B874" s="6" t="s">
        <v>5685</v>
      </c>
      <c r="C874" s="13">
        <v>914</v>
      </c>
      <c r="D874" s="8" t="s">
        <v>5686</v>
      </c>
      <c r="E874" s="8" t="s">
        <v>5687</v>
      </c>
      <c r="F874" s="8" t="s">
        <v>5688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192</v>
      </c>
      <c r="L874" s="9">
        <v>2024</v>
      </c>
      <c r="M874" s="8" t="s">
        <v>5689</v>
      </c>
      <c r="N874" s="8" t="s">
        <v>1171</v>
      </c>
      <c r="O874" s="8" t="s">
        <v>1172</v>
      </c>
      <c r="P874" s="6" t="s">
        <v>1157</v>
      </c>
      <c r="Q874" s="8" t="s">
        <v>44</v>
      </c>
      <c r="R874" s="10" t="s">
        <v>4964</v>
      </c>
      <c r="S874" s="11" t="s">
        <v>5690</v>
      </c>
      <c r="T874" s="6"/>
      <c r="U874" s="28" t="str">
        <f>HYPERLINK("https://media.infra-m.ru/2149/2149184/cover/2149184.jpg", "Обложка")</f>
        <v>Обложка</v>
      </c>
      <c r="V874" s="28" t="str">
        <f>HYPERLINK("https://znanium.ru/catalog/product/2072488", "Ознакомиться")</f>
        <v>Ознакомиться</v>
      </c>
      <c r="W874" s="8" t="s">
        <v>2782</v>
      </c>
      <c r="X874" s="6"/>
      <c r="Y874" s="6"/>
      <c r="Z874" s="6" t="s">
        <v>687</v>
      </c>
      <c r="AA874" s="6" t="s">
        <v>656</v>
      </c>
    </row>
    <row r="875" spans="1:27" s="4" customFormat="1" ht="51.95" customHeight="1">
      <c r="A875" s="5">
        <v>0</v>
      </c>
      <c r="B875" s="6" t="s">
        <v>5691</v>
      </c>
      <c r="C875" s="7">
        <v>1552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256</v>
      </c>
      <c r="L875" s="9">
        <v>2023</v>
      </c>
      <c r="M875" s="8" t="s">
        <v>5695</v>
      </c>
      <c r="N875" s="8" t="s">
        <v>68</v>
      </c>
      <c r="O875" s="8" t="s">
        <v>699</v>
      </c>
      <c r="P875" s="6" t="s">
        <v>43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HYPERLINK("https://media.infra-m.ru/2002/2002567/cover/2002567.jpg", "Обложка")</f>
        <v>Обложка</v>
      </c>
      <c r="V875" s="28" t="str">
        <f>HYPERLINK("https://znanium.ru/catalog/product/2002567", "Ознакомиться")</f>
        <v>Ознакомиться</v>
      </c>
      <c r="W875" s="8" t="s">
        <v>163</v>
      </c>
      <c r="X875" s="6"/>
      <c r="Y875" s="6"/>
      <c r="Z875" s="6"/>
      <c r="AA875" s="6" t="s">
        <v>221</v>
      </c>
    </row>
    <row r="876" spans="1:27" s="4" customFormat="1" ht="51.95" customHeight="1">
      <c r="A876" s="5">
        <v>0</v>
      </c>
      <c r="B876" s="6" t="s">
        <v>5698</v>
      </c>
      <c r="C876" s="7">
        <v>2360</v>
      </c>
      <c r="D876" s="8" t="s">
        <v>5699</v>
      </c>
      <c r="E876" s="8" t="s">
        <v>5700</v>
      </c>
      <c r="F876" s="8" t="s">
        <v>5701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512</v>
      </c>
      <c r="L876" s="9">
        <v>2024</v>
      </c>
      <c r="M876" s="8" t="s">
        <v>5702</v>
      </c>
      <c r="N876" s="8" t="s">
        <v>68</v>
      </c>
      <c r="O876" s="8" t="s">
        <v>69</v>
      </c>
      <c r="P876" s="6" t="s">
        <v>70</v>
      </c>
      <c r="Q876" s="8" t="s">
        <v>44</v>
      </c>
      <c r="R876" s="10" t="s">
        <v>2739</v>
      </c>
      <c r="S876" s="11" t="s">
        <v>1386</v>
      </c>
      <c r="T876" s="6"/>
      <c r="U876" s="28" t="str">
        <f>HYPERLINK("https://media.infra-m.ru/1902/1902835/cover/1902835.jpg", "Обложка")</f>
        <v>Обложка</v>
      </c>
      <c r="V876" s="28" t="str">
        <f>HYPERLINK("https://znanium.ru/catalog/product/1902835", "Ознакомиться")</f>
        <v>Ознакомиться</v>
      </c>
      <c r="W876" s="8" t="s">
        <v>1971</v>
      </c>
      <c r="X876" s="6"/>
      <c r="Y876" s="6"/>
      <c r="Z876" s="6"/>
      <c r="AA876" s="6" t="s">
        <v>245</v>
      </c>
    </row>
    <row r="877" spans="1:27" s="4" customFormat="1" ht="51.95" customHeight="1">
      <c r="A877" s="5">
        <v>0</v>
      </c>
      <c r="B877" s="6" t="s">
        <v>5703</v>
      </c>
      <c r="C877" s="7">
        <v>1520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323</v>
      </c>
      <c r="L877" s="9">
        <v>2024</v>
      </c>
      <c r="M877" s="8" t="s">
        <v>5707</v>
      </c>
      <c r="N877" s="8" t="s">
        <v>68</v>
      </c>
      <c r="O877" s="8" t="s">
        <v>69</v>
      </c>
      <c r="P877" s="6" t="s">
        <v>70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HYPERLINK("https://media.infra-m.ru/2132/2132084/cover/2132084.jpg", "Обложка")</f>
        <v>Обложка</v>
      </c>
      <c r="V877" s="28" t="str">
        <f>HYPERLINK("https://znanium.ru/catalog/product/2132084", "Ознакомиться")</f>
        <v>Ознакомиться</v>
      </c>
      <c r="W877" s="8" t="s">
        <v>5710</v>
      </c>
      <c r="X877" s="6"/>
      <c r="Y877" s="6"/>
      <c r="Z877" s="6" t="s">
        <v>48</v>
      </c>
      <c r="AA877" s="6" t="s">
        <v>122</v>
      </c>
    </row>
    <row r="878" spans="1:27" s="4" customFormat="1" ht="51.95" customHeight="1">
      <c r="A878" s="5">
        <v>0</v>
      </c>
      <c r="B878" s="6" t="s">
        <v>5711</v>
      </c>
      <c r="C878" s="7">
        <v>2840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630</v>
      </c>
      <c r="L878" s="9">
        <v>2023</v>
      </c>
      <c r="M878" s="8" t="s">
        <v>5715</v>
      </c>
      <c r="N878" s="8" t="s">
        <v>68</v>
      </c>
      <c r="O878" s="8" t="s">
        <v>69</v>
      </c>
      <c r="P878" s="6" t="s">
        <v>43</v>
      </c>
      <c r="Q878" s="8" t="s">
        <v>44</v>
      </c>
      <c r="R878" s="10" t="s">
        <v>5716</v>
      </c>
      <c r="S878" s="11" t="s">
        <v>5717</v>
      </c>
      <c r="T878" s="6" t="s">
        <v>110</v>
      </c>
      <c r="U878" s="28" t="str">
        <f>HYPERLINK("https://media.infra-m.ru/1014/1014771/cover/1014771.jpg", "Обложка")</f>
        <v>Обложка</v>
      </c>
      <c r="V878" s="28" t="str">
        <f>HYPERLINK("https://znanium.ru/catalog/product/1014771", "Ознакомиться")</f>
        <v>Ознакомиться</v>
      </c>
      <c r="W878" s="8" t="s">
        <v>1408</v>
      </c>
      <c r="X878" s="6"/>
      <c r="Y878" s="6"/>
      <c r="Z878" s="6"/>
      <c r="AA878" s="6" t="s">
        <v>85</v>
      </c>
    </row>
    <row r="879" spans="1:27" s="4" customFormat="1" ht="51.95" customHeight="1">
      <c r="A879" s="5">
        <v>0</v>
      </c>
      <c r="B879" s="6" t="s">
        <v>5718</v>
      </c>
      <c r="C879" s="7">
        <v>3700</v>
      </c>
      <c r="D879" s="8" t="s">
        <v>5719</v>
      </c>
      <c r="E879" s="8" t="s">
        <v>5720</v>
      </c>
      <c r="F879" s="8" t="s">
        <v>5714</v>
      </c>
      <c r="G879" s="6" t="s">
        <v>37</v>
      </c>
      <c r="H879" s="6" t="s">
        <v>79</v>
      </c>
      <c r="I879" s="8" t="s">
        <v>39</v>
      </c>
      <c r="J879" s="9">
        <v>1</v>
      </c>
      <c r="K879" s="9">
        <v>823</v>
      </c>
      <c r="L879" s="9">
        <v>2023</v>
      </c>
      <c r="M879" s="8" t="s">
        <v>5721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5716</v>
      </c>
      <c r="S879" s="11" t="s">
        <v>5722</v>
      </c>
      <c r="T879" s="6" t="s">
        <v>110</v>
      </c>
      <c r="U879" s="28" t="str">
        <f>HYPERLINK("https://media.infra-m.ru/2036/2036505/cover/2036505.jpg", "Обложка")</f>
        <v>Обложка</v>
      </c>
      <c r="V879" s="28" t="str">
        <f>HYPERLINK("https://znanium.ru/catalog/product/1013721", "Ознакомиться")</f>
        <v>Ознакомиться</v>
      </c>
      <c r="W879" s="8" t="s">
        <v>1408</v>
      </c>
      <c r="X879" s="6"/>
      <c r="Y879" s="6"/>
      <c r="Z879" s="6"/>
      <c r="AA879" s="6" t="s">
        <v>85</v>
      </c>
    </row>
    <row r="880" spans="1:27" s="4" customFormat="1" ht="51.95" customHeight="1">
      <c r="A880" s="5">
        <v>0</v>
      </c>
      <c r="B880" s="6" t="s">
        <v>5723</v>
      </c>
      <c r="C880" s="7">
        <v>1200</v>
      </c>
      <c r="D880" s="8" t="s">
        <v>5724</v>
      </c>
      <c r="E880" s="8" t="s">
        <v>5725</v>
      </c>
      <c r="F880" s="8" t="s">
        <v>126</v>
      </c>
      <c r="G880" s="6" t="s">
        <v>66</v>
      </c>
      <c r="H880" s="6" t="s">
        <v>116</v>
      </c>
      <c r="I880" s="8" t="s">
        <v>39</v>
      </c>
      <c r="J880" s="9">
        <v>1</v>
      </c>
      <c r="K880" s="9">
        <v>267</v>
      </c>
      <c r="L880" s="9">
        <v>2023</v>
      </c>
      <c r="M880" s="8" t="s">
        <v>5726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5716</v>
      </c>
      <c r="S880" s="11" t="s">
        <v>5727</v>
      </c>
      <c r="T880" s="6"/>
      <c r="U880" s="28" t="str">
        <f>HYPERLINK("https://media.infra-m.ru/1914/1914132/cover/1914132.jpg", "Обложка")</f>
        <v>Обложка</v>
      </c>
      <c r="V880" s="28" t="str">
        <f>HYPERLINK("https://znanium.ru/catalog/product/1914132", "Ознакомиться")</f>
        <v>Ознакомиться</v>
      </c>
      <c r="W880" s="8" t="s">
        <v>130</v>
      </c>
      <c r="X880" s="6"/>
      <c r="Y880" s="6"/>
      <c r="Z880" s="6" t="s">
        <v>687</v>
      </c>
      <c r="AA880" s="6" t="s">
        <v>656</v>
      </c>
    </row>
    <row r="881" spans="1:27" s="4" customFormat="1" ht="51.95" customHeight="1">
      <c r="A881" s="5">
        <v>0</v>
      </c>
      <c r="B881" s="6" t="s">
        <v>5728</v>
      </c>
      <c r="C881" s="7">
        <v>1664</v>
      </c>
      <c r="D881" s="8" t="s">
        <v>5729</v>
      </c>
      <c r="E881" s="8" t="s">
        <v>5730</v>
      </c>
      <c r="F881" s="8" t="s">
        <v>5731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368</v>
      </c>
      <c r="L881" s="9">
        <v>2023</v>
      </c>
      <c r="M881" s="8" t="s">
        <v>5732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2605</v>
      </c>
      <c r="S881" s="11" t="s">
        <v>5733</v>
      </c>
      <c r="T881" s="6"/>
      <c r="U881" s="28" t="str">
        <f>HYPERLINK("https://media.infra-m.ru/1933/1933149/cover/1933149.jpg", "Обложка")</f>
        <v>Обложка</v>
      </c>
      <c r="V881" s="28" t="str">
        <f>HYPERLINK("https://znanium.ru/catalog/product/1776329", "Ознакомиться")</f>
        <v>Ознакомиться</v>
      </c>
      <c r="W881" s="8"/>
      <c r="X881" s="6"/>
      <c r="Y881" s="6"/>
      <c r="Z881" s="6"/>
      <c r="AA881" s="6" t="s">
        <v>5734</v>
      </c>
    </row>
    <row r="882" spans="1:27" s="4" customFormat="1" ht="51.95" customHeight="1">
      <c r="A882" s="5">
        <v>0</v>
      </c>
      <c r="B882" s="6" t="s">
        <v>5735</v>
      </c>
      <c r="C882" s="7">
        <v>1110</v>
      </c>
      <c r="D882" s="8" t="s">
        <v>5736</v>
      </c>
      <c r="E882" s="8" t="s">
        <v>5737</v>
      </c>
      <c r="F882" s="8" t="s">
        <v>5738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240</v>
      </c>
      <c r="L882" s="9">
        <v>2024</v>
      </c>
      <c r="M882" s="8" t="s">
        <v>5739</v>
      </c>
      <c r="N882" s="8" t="s">
        <v>68</v>
      </c>
      <c r="O882" s="8" t="s">
        <v>69</v>
      </c>
      <c r="P882" s="6" t="s">
        <v>70</v>
      </c>
      <c r="Q882" s="8" t="s">
        <v>44</v>
      </c>
      <c r="R882" s="10" t="s">
        <v>5740</v>
      </c>
      <c r="S882" s="11" t="s">
        <v>5741</v>
      </c>
      <c r="T882" s="6"/>
      <c r="U882" s="28" t="str">
        <f>HYPERLINK("https://media.infra-m.ru/2132/2132079/cover/2132079.jpg", "Обложка")</f>
        <v>Обложка</v>
      </c>
      <c r="V882" s="28" t="str">
        <f>HYPERLINK("https://znanium.ru/catalog/product/2132079", "Ознакомиться")</f>
        <v>Ознакомиться</v>
      </c>
      <c r="W882" s="8" t="s">
        <v>2741</v>
      </c>
      <c r="X882" s="6"/>
      <c r="Y882" s="6"/>
      <c r="Z882" s="6" t="s">
        <v>48</v>
      </c>
      <c r="AA882" s="6" t="s">
        <v>414</v>
      </c>
    </row>
    <row r="883" spans="1:27" s="4" customFormat="1" ht="51.95" customHeight="1">
      <c r="A883" s="5">
        <v>0</v>
      </c>
      <c r="B883" s="6" t="s">
        <v>5742</v>
      </c>
      <c r="C883" s="13">
        <v>644.9</v>
      </c>
      <c r="D883" s="8" t="s">
        <v>5743</v>
      </c>
      <c r="E883" s="8" t="s">
        <v>5744</v>
      </c>
      <c r="F883" s="8" t="s">
        <v>5745</v>
      </c>
      <c r="G883" s="6" t="s">
        <v>66</v>
      </c>
      <c r="H883" s="6" t="s">
        <v>283</v>
      </c>
      <c r="I883" s="8" t="s">
        <v>56</v>
      </c>
      <c r="J883" s="9">
        <v>1</v>
      </c>
      <c r="K883" s="9">
        <v>144</v>
      </c>
      <c r="L883" s="9">
        <v>2022</v>
      </c>
      <c r="M883" s="8" t="s">
        <v>5746</v>
      </c>
      <c r="N883" s="8" t="s">
        <v>68</v>
      </c>
      <c r="O883" s="8" t="s">
        <v>69</v>
      </c>
      <c r="P883" s="6" t="s">
        <v>43</v>
      </c>
      <c r="Q883" s="8" t="s">
        <v>44</v>
      </c>
      <c r="R883" s="10" t="s">
        <v>5747</v>
      </c>
      <c r="S883" s="11" t="s">
        <v>5748</v>
      </c>
      <c r="T883" s="6"/>
      <c r="U883" s="28" t="str">
        <f>HYPERLINK("https://media.infra-m.ru/1952/1952045/cover/1952045.jpg", "Обложка")</f>
        <v>Обложка</v>
      </c>
      <c r="V883" s="28" t="str">
        <f>HYPERLINK("https://znanium.ru/catalog/product/1915889", "Ознакомиться")</f>
        <v>Ознакомиться</v>
      </c>
      <c r="W883" s="8" t="s">
        <v>5749</v>
      </c>
      <c r="X883" s="6"/>
      <c r="Y883" s="6" t="s">
        <v>30</v>
      </c>
      <c r="Z883" s="6"/>
      <c r="AA883" s="6" t="s">
        <v>103</v>
      </c>
    </row>
    <row r="884" spans="1:27" s="4" customFormat="1" ht="51.95" customHeight="1">
      <c r="A884" s="5">
        <v>0</v>
      </c>
      <c r="B884" s="6" t="s">
        <v>5750</v>
      </c>
      <c r="C884" s="13">
        <v>790</v>
      </c>
      <c r="D884" s="8" t="s">
        <v>5751</v>
      </c>
      <c r="E884" s="8" t="s">
        <v>5744</v>
      </c>
      <c r="F884" s="8" t="s">
        <v>5752</v>
      </c>
      <c r="G884" s="6" t="s">
        <v>66</v>
      </c>
      <c r="H884" s="6" t="s">
        <v>55</v>
      </c>
      <c r="I884" s="8" t="s">
        <v>56</v>
      </c>
      <c r="J884" s="9">
        <v>1</v>
      </c>
      <c r="K884" s="9">
        <v>170</v>
      </c>
      <c r="L884" s="9">
        <v>2022</v>
      </c>
      <c r="M884" s="8" t="s">
        <v>5753</v>
      </c>
      <c r="N884" s="8" t="s">
        <v>68</v>
      </c>
      <c r="O884" s="8" t="s">
        <v>69</v>
      </c>
      <c r="P884" s="6" t="s">
        <v>43</v>
      </c>
      <c r="Q884" s="8" t="s">
        <v>44</v>
      </c>
      <c r="R884" s="10" t="s">
        <v>5754</v>
      </c>
      <c r="S884" s="11"/>
      <c r="T884" s="6"/>
      <c r="U884" s="28" t="str">
        <f>HYPERLINK("https://media.infra-m.ru/1841/1841657/cover/1841657.jpg", "Обложка")</f>
        <v>Обложка</v>
      </c>
      <c r="V884" s="28" t="str">
        <f>HYPERLINK("https://znanium.ru/catalog/product/1841657", "Ознакомиться")</f>
        <v>Ознакомиться</v>
      </c>
      <c r="W884" s="8" t="s">
        <v>5755</v>
      </c>
      <c r="X884" s="6"/>
      <c r="Y884" s="6"/>
      <c r="Z884" s="6" t="s">
        <v>48</v>
      </c>
      <c r="AA884" s="6" t="s">
        <v>656</v>
      </c>
    </row>
    <row r="885" spans="1:27" s="4" customFormat="1" ht="51.95" customHeight="1">
      <c r="A885" s="5">
        <v>0</v>
      </c>
      <c r="B885" s="6" t="s">
        <v>5756</v>
      </c>
      <c r="C885" s="13">
        <v>900</v>
      </c>
      <c r="D885" s="8" t="s">
        <v>5757</v>
      </c>
      <c r="E885" s="8" t="s">
        <v>5758</v>
      </c>
      <c r="F885" s="8" t="s">
        <v>5759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195</v>
      </c>
      <c r="L885" s="9">
        <v>2024</v>
      </c>
      <c r="M885" s="8" t="s">
        <v>5760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5761</v>
      </c>
      <c r="S885" s="11" t="s">
        <v>5762</v>
      </c>
      <c r="T885" s="6"/>
      <c r="U885" s="28" t="str">
        <f>HYPERLINK("https://media.infra-m.ru/2128/2128446/cover/2128446.jpg", "Обложка")</f>
        <v>Обложка</v>
      </c>
      <c r="V885" s="28" t="str">
        <f>HYPERLINK("https://znanium.ru/catalog/product/2128446", "Ознакомиться")</f>
        <v>Ознакомиться</v>
      </c>
      <c r="W885" s="8" t="s">
        <v>1387</v>
      </c>
      <c r="X885" s="6"/>
      <c r="Y885" s="6"/>
      <c r="Z885" s="6"/>
      <c r="AA885" s="6" t="s">
        <v>94</v>
      </c>
    </row>
    <row r="886" spans="1:27" s="4" customFormat="1" ht="51.95" customHeight="1">
      <c r="A886" s="5">
        <v>0</v>
      </c>
      <c r="B886" s="6" t="s">
        <v>5763</v>
      </c>
      <c r="C886" s="7">
        <v>1670</v>
      </c>
      <c r="D886" s="8" t="s">
        <v>5764</v>
      </c>
      <c r="E886" s="8" t="s">
        <v>5758</v>
      </c>
      <c r="F886" s="8" t="s">
        <v>5759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363</v>
      </c>
      <c r="L886" s="9">
        <v>2024</v>
      </c>
      <c r="M886" s="8" t="s">
        <v>5765</v>
      </c>
      <c r="N886" s="8" t="s">
        <v>68</v>
      </c>
      <c r="O886" s="8" t="s">
        <v>69</v>
      </c>
      <c r="P886" s="6" t="s">
        <v>70</v>
      </c>
      <c r="Q886" s="8" t="s">
        <v>44</v>
      </c>
      <c r="R886" s="10" t="s">
        <v>2739</v>
      </c>
      <c r="S886" s="11" t="s">
        <v>5510</v>
      </c>
      <c r="T886" s="6"/>
      <c r="U886" s="28" t="str">
        <f>HYPERLINK("https://media.infra-m.ru/2075/2075105/cover/2075105.jpg", "Обложка")</f>
        <v>Обложка</v>
      </c>
      <c r="V886" s="28" t="str">
        <f>HYPERLINK("https://znanium.ru/catalog/product/2075105", "Ознакомиться")</f>
        <v>Ознакомиться</v>
      </c>
      <c r="W886" s="8" t="s">
        <v>1387</v>
      </c>
      <c r="X886" s="6"/>
      <c r="Y886" s="6"/>
      <c r="Z886" s="6"/>
      <c r="AA886" s="6" t="s">
        <v>94</v>
      </c>
    </row>
    <row r="887" spans="1:27" s="4" customFormat="1" ht="51.95" customHeight="1">
      <c r="A887" s="5">
        <v>0</v>
      </c>
      <c r="B887" s="6" t="s">
        <v>5766</v>
      </c>
      <c r="C887" s="7">
        <v>2260</v>
      </c>
      <c r="D887" s="8" t="s">
        <v>5767</v>
      </c>
      <c r="E887" s="8" t="s">
        <v>5758</v>
      </c>
      <c r="F887" s="8" t="s">
        <v>5768</v>
      </c>
      <c r="G887" s="6" t="s">
        <v>37</v>
      </c>
      <c r="H887" s="6" t="s">
        <v>79</v>
      </c>
      <c r="I887" s="8" t="s">
        <v>39</v>
      </c>
      <c r="J887" s="9">
        <v>1</v>
      </c>
      <c r="K887" s="9">
        <v>491</v>
      </c>
      <c r="L887" s="9">
        <v>2024</v>
      </c>
      <c r="M887" s="8" t="s">
        <v>5769</v>
      </c>
      <c r="N887" s="8" t="s">
        <v>68</v>
      </c>
      <c r="O887" s="8" t="s">
        <v>69</v>
      </c>
      <c r="P887" s="6" t="s">
        <v>70</v>
      </c>
      <c r="Q887" s="8" t="s">
        <v>44</v>
      </c>
      <c r="R887" s="10" t="s">
        <v>2739</v>
      </c>
      <c r="S887" s="11" t="s">
        <v>4835</v>
      </c>
      <c r="T887" s="6"/>
      <c r="U887" s="28" t="str">
        <f>HYPERLINK("https://media.infra-m.ru/2115/2115755/cover/2115755.jpg", "Обложка")</f>
        <v>Обложка</v>
      </c>
      <c r="V887" s="28" t="str">
        <f>HYPERLINK("https://znanium.ru/catalog/product/2115755", "Ознакомиться")</f>
        <v>Ознакомиться</v>
      </c>
      <c r="W887" s="8" t="s">
        <v>1971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5770</v>
      </c>
      <c r="C888" s="13">
        <v>990</v>
      </c>
      <c r="D888" s="8" t="s">
        <v>5771</v>
      </c>
      <c r="E888" s="8" t="s">
        <v>5772</v>
      </c>
      <c r="F888" s="8" t="s">
        <v>5773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215</v>
      </c>
      <c r="L888" s="9">
        <v>2024</v>
      </c>
      <c r="M888" s="8" t="s">
        <v>5774</v>
      </c>
      <c r="N888" s="8" t="s">
        <v>68</v>
      </c>
      <c r="O888" s="8" t="s">
        <v>69</v>
      </c>
      <c r="P888" s="6" t="s">
        <v>43</v>
      </c>
      <c r="Q888" s="8" t="s">
        <v>44</v>
      </c>
      <c r="R888" s="10" t="s">
        <v>2605</v>
      </c>
      <c r="S888" s="11" t="s">
        <v>5775</v>
      </c>
      <c r="T888" s="6"/>
      <c r="U888" s="28" t="str">
        <f>HYPERLINK("https://media.infra-m.ru/2127/2127878/cover/2127878.jpg", "Обложка")</f>
        <v>Обложка</v>
      </c>
      <c r="V888" s="28" t="str">
        <f>HYPERLINK("https://znanium.ru/catalog/product/2127878", "Ознакомиться")</f>
        <v>Ознакомиться</v>
      </c>
      <c r="W888" s="8" t="s">
        <v>1815</v>
      </c>
      <c r="X888" s="6"/>
      <c r="Y888" s="6"/>
      <c r="Z888" s="6"/>
      <c r="AA888" s="6" t="s">
        <v>213</v>
      </c>
    </row>
    <row r="889" spans="1:27" s="4" customFormat="1" ht="51.95" customHeight="1">
      <c r="A889" s="5">
        <v>0</v>
      </c>
      <c r="B889" s="6" t="s">
        <v>5776</v>
      </c>
      <c r="C889" s="7">
        <v>1794</v>
      </c>
      <c r="D889" s="8" t="s">
        <v>5777</v>
      </c>
      <c r="E889" s="8" t="s">
        <v>5778</v>
      </c>
      <c r="F889" s="8" t="s">
        <v>5779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397</v>
      </c>
      <c r="L889" s="9">
        <v>2023</v>
      </c>
      <c r="M889" s="8" t="s">
        <v>5780</v>
      </c>
      <c r="N889" s="8" t="s">
        <v>118</v>
      </c>
      <c r="O889" s="8" t="s">
        <v>1459</v>
      </c>
      <c r="P889" s="6" t="s">
        <v>70</v>
      </c>
      <c r="Q889" s="8" t="s">
        <v>44</v>
      </c>
      <c r="R889" s="10" t="s">
        <v>5781</v>
      </c>
      <c r="S889" s="11" t="s">
        <v>5782</v>
      </c>
      <c r="T889" s="6"/>
      <c r="U889" s="28" t="str">
        <f>HYPERLINK("https://media.infra-m.ru/2021/2021443/cover/2021443.jpg", "Обложка")</f>
        <v>Обложка</v>
      </c>
      <c r="V889" s="28" t="str">
        <f>HYPERLINK("https://znanium.ru/catalog/product/961667", "Ознакомиться")</f>
        <v>Ознакомиться</v>
      </c>
      <c r="W889" s="8" t="s">
        <v>5783</v>
      </c>
      <c r="X889" s="6"/>
      <c r="Y889" s="6"/>
      <c r="Z889" s="6" t="s">
        <v>48</v>
      </c>
      <c r="AA889" s="6" t="s">
        <v>213</v>
      </c>
    </row>
    <row r="890" spans="1:27" s="4" customFormat="1" ht="51.95" customHeight="1">
      <c r="A890" s="5">
        <v>0</v>
      </c>
      <c r="B890" s="6" t="s">
        <v>5784</v>
      </c>
      <c r="C890" s="13">
        <v>970</v>
      </c>
      <c r="D890" s="8" t="s">
        <v>5785</v>
      </c>
      <c r="E890" s="8" t="s">
        <v>5786</v>
      </c>
      <c r="F890" s="8" t="s">
        <v>1735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205</v>
      </c>
      <c r="L890" s="9">
        <v>2024</v>
      </c>
      <c r="M890" s="8" t="s">
        <v>5787</v>
      </c>
      <c r="N890" s="8" t="s">
        <v>118</v>
      </c>
      <c r="O890" s="8" t="s">
        <v>119</v>
      </c>
      <c r="P890" s="6" t="s">
        <v>43</v>
      </c>
      <c r="Q890" s="8" t="s">
        <v>44</v>
      </c>
      <c r="R890" s="10" t="s">
        <v>4360</v>
      </c>
      <c r="S890" s="11" t="s">
        <v>5788</v>
      </c>
      <c r="T890" s="6"/>
      <c r="U890" s="28" t="str">
        <f>HYPERLINK("https://media.infra-m.ru/2149/2149185/cover/2149185.jpg", "Обложка")</f>
        <v>Обложка</v>
      </c>
      <c r="V890" s="28" t="str">
        <f>HYPERLINK("https://znanium.ru/catalog/product/2149185", "Ознакомиться")</f>
        <v>Ознакомиться</v>
      </c>
      <c r="W890" s="8" t="s">
        <v>1739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1174</v>
      </c>
      <c r="D891" s="8" t="s">
        <v>5790</v>
      </c>
      <c r="E891" s="8" t="s">
        <v>5791</v>
      </c>
      <c r="F891" s="8" t="s">
        <v>5792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249</v>
      </c>
      <c r="L891" s="9">
        <v>2024</v>
      </c>
      <c r="M891" s="8" t="s">
        <v>5793</v>
      </c>
      <c r="N891" s="8" t="s">
        <v>41</v>
      </c>
      <c r="O891" s="8" t="s">
        <v>178</v>
      </c>
      <c r="P891" s="6" t="s">
        <v>70</v>
      </c>
      <c r="Q891" s="8" t="s">
        <v>44</v>
      </c>
      <c r="R891" s="10" t="s">
        <v>1253</v>
      </c>
      <c r="S891" s="11" t="s">
        <v>5794</v>
      </c>
      <c r="T891" s="6"/>
      <c r="U891" s="28" t="str">
        <f>HYPERLINK("https://media.infra-m.ru/2139/2139786/cover/2139786.jpg", "Обложка")</f>
        <v>Обложка</v>
      </c>
      <c r="V891" s="28" t="str">
        <f>HYPERLINK("https://znanium.ru/catalog/product/2135973", "Ознакомиться")</f>
        <v>Ознакомиться</v>
      </c>
      <c r="W891" s="8" t="s">
        <v>181</v>
      </c>
      <c r="X891" s="6"/>
      <c r="Y891" s="6" t="s">
        <v>30</v>
      </c>
      <c r="Z891" s="6"/>
      <c r="AA891" s="6" t="s">
        <v>1358</v>
      </c>
    </row>
    <row r="892" spans="1:27" s="4" customFormat="1" ht="51.95" customHeight="1">
      <c r="A892" s="5">
        <v>0</v>
      </c>
      <c r="B892" s="6" t="s">
        <v>5795</v>
      </c>
      <c r="C892" s="7">
        <v>1350</v>
      </c>
      <c r="D892" s="8" t="s">
        <v>5796</v>
      </c>
      <c r="E892" s="8" t="s">
        <v>5797</v>
      </c>
      <c r="F892" s="8" t="s">
        <v>5798</v>
      </c>
      <c r="G892" s="6" t="s">
        <v>66</v>
      </c>
      <c r="H892" s="6" t="s">
        <v>38</v>
      </c>
      <c r="I892" s="8" t="s">
        <v>39</v>
      </c>
      <c r="J892" s="9">
        <v>1</v>
      </c>
      <c r="K892" s="9">
        <v>288</v>
      </c>
      <c r="L892" s="9">
        <v>2024</v>
      </c>
      <c r="M892" s="8" t="s">
        <v>5799</v>
      </c>
      <c r="N892" s="8" t="s">
        <v>41</v>
      </c>
      <c r="O892" s="8" t="s">
        <v>160</v>
      </c>
      <c r="P892" s="6" t="s">
        <v>70</v>
      </c>
      <c r="Q892" s="8" t="s">
        <v>44</v>
      </c>
      <c r="R892" s="10" t="s">
        <v>5800</v>
      </c>
      <c r="S892" s="11" t="s">
        <v>5801</v>
      </c>
      <c r="T892" s="6"/>
      <c r="U892" s="28" t="str">
        <f>HYPERLINK("https://media.infra-m.ru/2119/2119097/cover/2119097.jpg", "Обложка")</f>
        <v>Обложка</v>
      </c>
      <c r="V892" s="28" t="str">
        <f>HYPERLINK("https://znanium.ru/catalog/product/2119097", "Ознакомиться")</f>
        <v>Ознакомиться</v>
      </c>
      <c r="W892" s="8" t="s">
        <v>172</v>
      </c>
      <c r="X892" s="6"/>
      <c r="Y892" s="6" t="s">
        <v>30</v>
      </c>
      <c r="Z892" s="6" t="s">
        <v>48</v>
      </c>
      <c r="AA892" s="6" t="s">
        <v>122</v>
      </c>
    </row>
    <row r="893" spans="1:27" s="4" customFormat="1" ht="42" customHeight="1">
      <c r="A893" s="5">
        <v>0</v>
      </c>
      <c r="B893" s="6" t="s">
        <v>5802</v>
      </c>
      <c r="C893" s="7">
        <v>1484.9</v>
      </c>
      <c r="D893" s="8" t="s">
        <v>5803</v>
      </c>
      <c r="E893" s="8" t="s">
        <v>5804</v>
      </c>
      <c r="F893" s="8" t="s">
        <v>5805</v>
      </c>
      <c r="G893" s="6" t="s">
        <v>37</v>
      </c>
      <c r="H893" s="6" t="s">
        <v>79</v>
      </c>
      <c r="I893" s="8" t="s">
        <v>39</v>
      </c>
      <c r="J893" s="9">
        <v>1</v>
      </c>
      <c r="K893" s="9">
        <v>392</v>
      </c>
      <c r="L893" s="9">
        <v>2022</v>
      </c>
      <c r="M893" s="8" t="s">
        <v>5806</v>
      </c>
      <c r="N893" s="8" t="s">
        <v>41</v>
      </c>
      <c r="O893" s="8" t="s">
        <v>1222</v>
      </c>
      <c r="P893" s="6" t="s">
        <v>43</v>
      </c>
      <c r="Q893" s="8" t="s">
        <v>44</v>
      </c>
      <c r="R893" s="10" t="s">
        <v>5537</v>
      </c>
      <c r="S893" s="11"/>
      <c r="T893" s="6"/>
      <c r="U893" s="28" t="str">
        <f>HYPERLINK("https://media.infra-m.ru/1851/1851444/cover/1851444.jpg", "Обложка")</f>
        <v>Обложка</v>
      </c>
      <c r="V893" s="28" t="str">
        <f>HYPERLINK("https://znanium.ru/catalog/product/1851444", "Ознакомиться")</f>
        <v>Ознакомиться</v>
      </c>
      <c r="W893" s="8" t="s">
        <v>5538</v>
      </c>
      <c r="X893" s="6"/>
      <c r="Y893" s="6" t="s">
        <v>30</v>
      </c>
      <c r="Z893" s="6"/>
      <c r="AA893" s="6" t="s">
        <v>587</v>
      </c>
    </row>
    <row r="894" spans="1:27" s="4" customFormat="1" ht="51.95" customHeight="1">
      <c r="A894" s="5">
        <v>0</v>
      </c>
      <c r="B894" s="6" t="s">
        <v>5807</v>
      </c>
      <c r="C894" s="13">
        <v>970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283</v>
      </c>
      <c r="I894" s="8" t="s">
        <v>1004</v>
      </c>
      <c r="J894" s="9">
        <v>1</v>
      </c>
      <c r="K894" s="9">
        <v>255</v>
      </c>
      <c r="L894" s="9">
        <v>2022</v>
      </c>
      <c r="M894" s="8" t="s">
        <v>5811</v>
      </c>
      <c r="N894" s="8" t="s">
        <v>41</v>
      </c>
      <c r="O894" s="8" t="s">
        <v>42</v>
      </c>
      <c r="P894" s="6" t="s">
        <v>43</v>
      </c>
      <c r="Q894" s="8" t="s">
        <v>44</v>
      </c>
      <c r="R894" s="10" t="s">
        <v>5812</v>
      </c>
      <c r="S894" s="11" t="s">
        <v>1691</v>
      </c>
      <c r="T894" s="6"/>
      <c r="U894" s="28" t="str">
        <f>HYPERLINK("https://media.infra-m.ru/1841/1841781/cover/1841781.jpg", "Обложка")</f>
        <v>Обложка</v>
      </c>
      <c r="V894" s="28" t="str">
        <f>HYPERLINK("https://znanium.ru/catalog/product/1841781", "Ознакомиться")</f>
        <v>Ознакомиться</v>
      </c>
      <c r="W894" s="8" t="s">
        <v>726</v>
      </c>
      <c r="X894" s="6"/>
      <c r="Y894" s="6"/>
      <c r="Z894" s="6"/>
      <c r="AA894" s="6" t="s">
        <v>872</v>
      </c>
    </row>
    <row r="895" spans="1:27" s="4" customFormat="1" ht="51.95" customHeight="1">
      <c r="A895" s="5">
        <v>0</v>
      </c>
      <c r="B895" s="6" t="s">
        <v>5813</v>
      </c>
      <c r="C895" s="7">
        <v>1584.9</v>
      </c>
      <c r="D895" s="8" t="s">
        <v>5814</v>
      </c>
      <c r="E895" s="8" t="s">
        <v>5815</v>
      </c>
      <c r="F895" s="8" t="s">
        <v>1405</v>
      </c>
      <c r="G895" s="6" t="s">
        <v>37</v>
      </c>
      <c r="H895" s="6" t="s">
        <v>38</v>
      </c>
      <c r="I895" s="8" t="s">
        <v>56</v>
      </c>
      <c r="J895" s="9">
        <v>1</v>
      </c>
      <c r="K895" s="9">
        <v>352</v>
      </c>
      <c r="L895" s="9">
        <v>2023</v>
      </c>
      <c r="M895" s="8" t="s">
        <v>5816</v>
      </c>
      <c r="N895" s="8" t="s">
        <v>504</v>
      </c>
      <c r="O895" s="8" t="s">
        <v>746</v>
      </c>
      <c r="P895" s="6" t="s">
        <v>43</v>
      </c>
      <c r="Q895" s="8" t="s">
        <v>44</v>
      </c>
      <c r="R895" s="10" t="s">
        <v>2916</v>
      </c>
      <c r="S895" s="11" t="s">
        <v>5817</v>
      </c>
      <c r="T895" s="6"/>
      <c r="U895" s="28" t="str">
        <f>HYPERLINK("https://media.infra-m.ru/1913/1913643/cover/1913643.jpg", "Обложка")</f>
        <v>Обложка</v>
      </c>
      <c r="V895" s="28" t="str">
        <f>HYPERLINK("https://znanium.ru/catalog/product/1362444", "Ознакомиться")</f>
        <v>Ознакомиться</v>
      </c>
      <c r="W895" s="8" t="s">
        <v>1408</v>
      </c>
      <c r="X895" s="6"/>
      <c r="Y895" s="6"/>
      <c r="Z895" s="6"/>
      <c r="AA895" s="6" t="s">
        <v>777</v>
      </c>
    </row>
    <row r="896" spans="1:27" s="4" customFormat="1" ht="51.95" customHeight="1">
      <c r="A896" s="5">
        <v>0</v>
      </c>
      <c r="B896" s="6" t="s">
        <v>5818</v>
      </c>
      <c r="C896" s="13">
        <v>690</v>
      </c>
      <c r="D896" s="8" t="s">
        <v>5819</v>
      </c>
      <c r="E896" s="8" t="s">
        <v>5820</v>
      </c>
      <c r="F896" s="8" t="s">
        <v>5821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143</v>
      </c>
      <c r="L896" s="9">
        <v>2024</v>
      </c>
      <c r="M896" s="8" t="s">
        <v>5822</v>
      </c>
      <c r="N896" s="8" t="s">
        <v>41</v>
      </c>
      <c r="O896" s="8" t="s">
        <v>178</v>
      </c>
      <c r="P896" s="6" t="s">
        <v>43</v>
      </c>
      <c r="Q896" s="8" t="s">
        <v>44</v>
      </c>
      <c r="R896" s="10" t="s">
        <v>5823</v>
      </c>
      <c r="S896" s="11" t="s">
        <v>5824</v>
      </c>
      <c r="T896" s="6"/>
      <c r="U896" s="28" t="str">
        <f>HYPERLINK("https://media.infra-m.ru/2084/2084110/cover/2084110.jpg", "Обложка")</f>
        <v>Обложка</v>
      </c>
      <c r="V896" s="28" t="str">
        <f>HYPERLINK("https://znanium.ru/catalog/product/2084110", "Ознакомиться")</f>
        <v>Ознакомиться</v>
      </c>
      <c r="W896" s="8" t="s">
        <v>163</v>
      </c>
      <c r="X896" s="6"/>
      <c r="Y896" s="6"/>
      <c r="Z896" s="6"/>
      <c r="AA896" s="6" t="s">
        <v>138</v>
      </c>
    </row>
    <row r="897" spans="1:27" s="4" customFormat="1" ht="51.95" customHeight="1">
      <c r="A897" s="5">
        <v>0</v>
      </c>
      <c r="B897" s="6" t="s">
        <v>5825</v>
      </c>
      <c r="C897" s="13">
        <v>724.9</v>
      </c>
      <c r="D897" s="8" t="s">
        <v>5826</v>
      </c>
      <c r="E897" s="8" t="s">
        <v>5827</v>
      </c>
      <c r="F897" s="8" t="s">
        <v>5828</v>
      </c>
      <c r="G897" s="6" t="s">
        <v>37</v>
      </c>
      <c r="H897" s="6" t="s">
        <v>38</v>
      </c>
      <c r="I897" s="8" t="s">
        <v>39</v>
      </c>
      <c r="J897" s="9">
        <v>1</v>
      </c>
      <c r="K897" s="9">
        <v>192</v>
      </c>
      <c r="L897" s="9">
        <v>2022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5830</v>
      </c>
      <c r="S897" s="11" t="s">
        <v>5831</v>
      </c>
      <c r="T897" s="6"/>
      <c r="U897" s="28" t="str">
        <f>HYPERLINK("https://media.infra-m.ru/1834/1834678/cover/1834678.jpg", "Обложка")</f>
        <v>Обложка</v>
      </c>
      <c r="V897" s="28" t="str">
        <f>HYPERLINK("https://znanium.ru/catalog/product/1834678", "Ознакомиться")</f>
        <v>Ознакомиться</v>
      </c>
      <c r="W897" s="8" t="s">
        <v>5832</v>
      </c>
      <c r="X897" s="6"/>
      <c r="Y897" s="6"/>
      <c r="Z897" s="6"/>
      <c r="AA897" s="6" t="s">
        <v>288</v>
      </c>
    </row>
    <row r="898" spans="1:27" s="4" customFormat="1" ht="51.95" customHeight="1">
      <c r="A898" s="5">
        <v>0</v>
      </c>
      <c r="B898" s="6" t="s">
        <v>5833</v>
      </c>
      <c r="C898" s="7">
        <v>1814</v>
      </c>
      <c r="D898" s="8" t="s">
        <v>5834</v>
      </c>
      <c r="E898" s="8" t="s">
        <v>5835</v>
      </c>
      <c r="F898" s="8" t="s">
        <v>5836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309</v>
      </c>
      <c r="L898" s="9">
        <v>2023</v>
      </c>
      <c r="M898" s="8" t="s">
        <v>5837</v>
      </c>
      <c r="N898" s="8" t="s">
        <v>41</v>
      </c>
      <c r="O898" s="8" t="s">
        <v>160</v>
      </c>
      <c r="P898" s="6" t="s">
        <v>43</v>
      </c>
      <c r="Q898" s="8" t="s">
        <v>44</v>
      </c>
      <c r="R898" s="10" t="s">
        <v>5838</v>
      </c>
      <c r="S898" s="11" t="s">
        <v>5839</v>
      </c>
      <c r="T898" s="6"/>
      <c r="U898" s="28" t="str">
        <f>HYPERLINK("https://media.infra-m.ru/1971/1971056/cover/1971056.jpg", "Обложка")</f>
        <v>Обложка</v>
      </c>
      <c r="V898" s="28" t="str">
        <f>HYPERLINK("https://znanium.ru/catalog/product/1895656", "Ознакомиться")</f>
        <v>Ознакомиться</v>
      </c>
      <c r="W898" s="8" t="s">
        <v>1112</v>
      </c>
      <c r="X898" s="6"/>
      <c r="Y898" s="6"/>
      <c r="Z898" s="6" t="s">
        <v>48</v>
      </c>
      <c r="AA898" s="6" t="s">
        <v>213</v>
      </c>
    </row>
    <row r="899" spans="1:27" s="4" customFormat="1" ht="51.95" customHeight="1">
      <c r="A899" s="5">
        <v>0</v>
      </c>
      <c r="B899" s="6" t="s">
        <v>5840</v>
      </c>
      <c r="C899" s="13">
        <v>890</v>
      </c>
      <c r="D899" s="8" t="s">
        <v>5841</v>
      </c>
      <c r="E899" s="8" t="s">
        <v>5842</v>
      </c>
      <c r="F899" s="8" t="s">
        <v>5843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197</v>
      </c>
      <c r="L899" s="9">
        <v>2023</v>
      </c>
      <c r="M899" s="8" t="s">
        <v>5844</v>
      </c>
      <c r="N899" s="8" t="s">
        <v>1171</v>
      </c>
      <c r="O899" s="8" t="s">
        <v>1172</v>
      </c>
      <c r="P899" s="6" t="s">
        <v>70</v>
      </c>
      <c r="Q899" s="8" t="s">
        <v>44</v>
      </c>
      <c r="R899" s="10" t="s">
        <v>5845</v>
      </c>
      <c r="S899" s="11" t="s">
        <v>5846</v>
      </c>
      <c r="T899" s="6"/>
      <c r="U899" s="28" t="str">
        <f>HYPERLINK("https://media.infra-m.ru/1970/1970295/cover/1970295.jpg", "Обложка")</f>
        <v>Обложка</v>
      </c>
      <c r="V899" s="28" t="str">
        <f>HYPERLINK("https://znanium.ru/catalog/product/1970295", "Ознакомиться")</f>
        <v>Ознакомиться</v>
      </c>
      <c r="W899" s="8" t="s">
        <v>1387</v>
      </c>
      <c r="X899" s="6"/>
      <c r="Y899" s="6"/>
      <c r="Z899" s="6"/>
      <c r="AA899" s="6" t="s">
        <v>213</v>
      </c>
    </row>
    <row r="900" spans="1:27" s="4" customFormat="1" ht="51.95" customHeight="1">
      <c r="A900" s="5">
        <v>0</v>
      </c>
      <c r="B900" s="6" t="s">
        <v>5847</v>
      </c>
      <c r="C900" s="7">
        <v>1354.9</v>
      </c>
      <c r="D900" s="8" t="s">
        <v>5848</v>
      </c>
      <c r="E900" s="8" t="s">
        <v>5849</v>
      </c>
      <c r="F900" s="8" t="s">
        <v>5850</v>
      </c>
      <c r="G900" s="6" t="s">
        <v>66</v>
      </c>
      <c r="H900" s="6" t="s">
        <v>283</v>
      </c>
      <c r="I900" s="8" t="s">
        <v>39</v>
      </c>
      <c r="J900" s="9">
        <v>1</v>
      </c>
      <c r="K900" s="9">
        <v>301</v>
      </c>
      <c r="L900" s="9">
        <v>2023</v>
      </c>
      <c r="M900" s="8" t="s">
        <v>5851</v>
      </c>
      <c r="N900" s="8" t="s">
        <v>118</v>
      </c>
      <c r="O900" s="8" t="s">
        <v>336</v>
      </c>
      <c r="P900" s="6" t="s">
        <v>70</v>
      </c>
      <c r="Q900" s="8" t="s">
        <v>44</v>
      </c>
      <c r="R900" s="10" t="s">
        <v>91</v>
      </c>
      <c r="S900" s="11" t="s">
        <v>5852</v>
      </c>
      <c r="T900" s="6"/>
      <c r="U900" s="28" t="str">
        <f>HYPERLINK("https://media.infra-m.ru/1893/1893948/cover/1893948.jpg", "Обложка")</f>
        <v>Обложка</v>
      </c>
      <c r="V900" s="28" t="str">
        <f>HYPERLINK("https://znanium.ru/catalog/product/2107419", "Ознакомиться")</f>
        <v>Ознакомиться</v>
      </c>
      <c r="W900" s="8" t="s">
        <v>1504</v>
      </c>
      <c r="X900" s="6"/>
      <c r="Y900" s="6"/>
      <c r="Z900" s="6" t="s">
        <v>48</v>
      </c>
      <c r="AA900" s="6" t="s">
        <v>61</v>
      </c>
    </row>
    <row r="901" spans="1:27" s="4" customFormat="1" ht="51.95" customHeight="1">
      <c r="A901" s="5">
        <v>0</v>
      </c>
      <c r="B901" s="6" t="s">
        <v>5853</v>
      </c>
      <c r="C901" s="7">
        <v>1390</v>
      </c>
      <c r="D901" s="8" t="s">
        <v>5854</v>
      </c>
      <c r="E901" s="8" t="s">
        <v>5855</v>
      </c>
      <c r="F901" s="8" t="s">
        <v>5850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291</v>
      </c>
      <c r="L901" s="9">
        <v>2024</v>
      </c>
      <c r="M901" s="8" t="s">
        <v>5856</v>
      </c>
      <c r="N901" s="8" t="s">
        <v>118</v>
      </c>
      <c r="O901" s="8" t="s">
        <v>336</v>
      </c>
      <c r="P901" s="6" t="s">
        <v>70</v>
      </c>
      <c r="Q901" s="8" t="s">
        <v>44</v>
      </c>
      <c r="R901" s="10" t="s">
        <v>91</v>
      </c>
      <c r="S901" s="11" t="s">
        <v>5852</v>
      </c>
      <c r="T901" s="6"/>
      <c r="U901" s="28" t="str">
        <f>HYPERLINK("https://media.infra-m.ru/2107/2107419/cover/2107419.jpg", "Обложка")</f>
        <v>Обложка</v>
      </c>
      <c r="V901" s="28" t="str">
        <f>HYPERLINK("https://znanium.ru/catalog/product/2107419", "Ознакомиться")</f>
        <v>Ознакомиться</v>
      </c>
      <c r="W901" s="8" t="s">
        <v>1504</v>
      </c>
      <c r="X901" s="6" t="s">
        <v>635</v>
      </c>
      <c r="Y901" s="6"/>
      <c r="Z901" s="6" t="s">
        <v>48</v>
      </c>
      <c r="AA901" s="6" t="s">
        <v>2625</v>
      </c>
    </row>
    <row r="902" spans="1:27" s="4" customFormat="1" ht="51.95" customHeight="1">
      <c r="A902" s="5">
        <v>0</v>
      </c>
      <c r="B902" s="6" t="s">
        <v>5857</v>
      </c>
      <c r="C902" s="13">
        <v>904.9</v>
      </c>
      <c r="D902" s="8" t="s">
        <v>5858</v>
      </c>
      <c r="E902" s="8" t="s">
        <v>5859</v>
      </c>
      <c r="F902" s="8" t="s">
        <v>5860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202</v>
      </c>
      <c r="L902" s="9">
        <v>2023</v>
      </c>
      <c r="M902" s="8" t="s">
        <v>5861</v>
      </c>
      <c r="N902" s="8" t="s">
        <v>118</v>
      </c>
      <c r="O902" s="8" t="s">
        <v>119</v>
      </c>
      <c r="P902" s="6" t="s">
        <v>70</v>
      </c>
      <c r="Q902" s="8" t="s">
        <v>44</v>
      </c>
      <c r="R902" s="10" t="s">
        <v>5862</v>
      </c>
      <c r="S902" s="11" t="s">
        <v>5863</v>
      </c>
      <c r="T902" s="6"/>
      <c r="U902" s="28" t="str">
        <f>HYPERLINK("https://media.infra-m.ru/2012/2012584/cover/2012584.jpg", "Обложка")</f>
        <v>Обложка</v>
      </c>
      <c r="V902" s="28" t="str">
        <f>HYPERLINK("https://znanium.ru/catalog/product/1241803", "Ознакомиться")</f>
        <v>Ознакомиться</v>
      </c>
      <c r="W902" s="8" t="s">
        <v>2870</v>
      </c>
      <c r="X902" s="6"/>
      <c r="Y902" s="6"/>
      <c r="Z902" s="6" t="s">
        <v>48</v>
      </c>
      <c r="AA902" s="6" t="s">
        <v>656</v>
      </c>
    </row>
    <row r="903" spans="1:27" s="4" customFormat="1" ht="51.95" customHeight="1">
      <c r="A903" s="5">
        <v>0</v>
      </c>
      <c r="B903" s="6" t="s">
        <v>5864</v>
      </c>
      <c r="C903" s="13">
        <v>980</v>
      </c>
      <c r="D903" s="8" t="s">
        <v>5865</v>
      </c>
      <c r="E903" s="8" t="s">
        <v>5866</v>
      </c>
      <c r="F903" s="8" t="s">
        <v>292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207</v>
      </c>
      <c r="L903" s="9">
        <v>2024</v>
      </c>
      <c r="M903" s="8" t="s">
        <v>5867</v>
      </c>
      <c r="N903" s="8" t="s">
        <v>41</v>
      </c>
      <c r="O903" s="8" t="s">
        <v>227</v>
      </c>
      <c r="P903" s="6" t="s">
        <v>43</v>
      </c>
      <c r="Q903" s="8" t="s">
        <v>44</v>
      </c>
      <c r="R903" s="10" t="s">
        <v>1662</v>
      </c>
      <c r="S903" s="11" t="s">
        <v>5868</v>
      </c>
      <c r="T903" s="6"/>
      <c r="U903" s="28" t="str">
        <f>HYPERLINK("https://media.infra-m.ru/2149/2149621/cover/2149621.jpg", "Обложка")</f>
        <v>Обложка</v>
      </c>
      <c r="V903" s="28" t="str">
        <f>HYPERLINK("https://znanium.ru/catalog/product/2149621", "Ознакомиться")</f>
        <v>Ознакомиться</v>
      </c>
      <c r="W903" s="8" t="s">
        <v>296</v>
      </c>
      <c r="X903" s="6"/>
      <c r="Y903" s="6"/>
      <c r="Z903" s="6"/>
      <c r="AA903" s="6" t="s">
        <v>262</v>
      </c>
    </row>
    <row r="904" spans="1:27" s="4" customFormat="1" ht="51.95" customHeight="1">
      <c r="A904" s="5">
        <v>0</v>
      </c>
      <c r="B904" s="6" t="s">
        <v>5869</v>
      </c>
      <c r="C904" s="7">
        <v>1940</v>
      </c>
      <c r="D904" s="8" t="s">
        <v>5870</v>
      </c>
      <c r="E904" s="8" t="s">
        <v>5871</v>
      </c>
      <c r="F904" s="8" t="s">
        <v>2724</v>
      </c>
      <c r="G904" s="6" t="s">
        <v>66</v>
      </c>
      <c r="H904" s="6" t="s">
        <v>38</v>
      </c>
      <c r="I904" s="8" t="s">
        <v>56</v>
      </c>
      <c r="J904" s="9">
        <v>1</v>
      </c>
      <c r="K904" s="9">
        <v>432</v>
      </c>
      <c r="L904" s="9">
        <v>2023</v>
      </c>
      <c r="M904" s="8" t="s">
        <v>5872</v>
      </c>
      <c r="N904" s="8" t="s">
        <v>41</v>
      </c>
      <c r="O904" s="8" t="s">
        <v>514</v>
      </c>
      <c r="P904" s="6" t="s">
        <v>43</v>
      </c>
      <c r="Q904" s="8" t="s">
        <v>44</v>
      </c>
      <c r="R904" s="10" t="s">
        <v>5873</v>
      </c>
      <c r="S904" s="11" t="s">
        <v>973</v>
      </c>
      <c r="T904" s="6"/>
      <c r="U904" s="28" t="str">
        <f>HYPERLINK("https://media.infra-m.ru/1893/1893798/cover/1893798.jpg", "Обложка")</f>
        <v>Обложка</v>
      </c>
      <c r="V904" s="28" t="str">
        <f>HYPERLINK("https://znanium.ru/catalog/product/1893798", "Ознакомиться")</f>
        <v>Ознакомиться</v>
      </c>
      <c r="W904" s="8" t="s">
        <v>2727</v>
      </c>
      <c r="X904" s="6"/>
      <c r="Y904" s="6"/>
      <c r="Z904" s="6"/>
      <c r="AA904" s="6" t="s">
        <v>1957</v>
      </c>
    </row>
    <row r="905" spans="1:27" s="4" customFormat="1" ht="51.95" customHeight="1">
      <c r="A905" s="5">
        <v>0</v>
      </c>
      <c r="B905" s="6" t="s">
        <v>5874</v>
      </c>
      <c r="C905" s="7">
        <v>2560</v>
      </c>
      <c r="D905" s="8" t="s">
        <v>5875</v>
      </c>
      <c r="E905" s="8" t="s">
        <v>5876</v>
      </c>
      <c r="F905" s="8" t="s">
        <v>5877</v>
      </c>
      <c r="G905" s="6" t="s">
        <v>37</v>
      </c>
      <c r="H905" s="6" t="s">
        <v>38</v>
      </c>
      <c r="I905" s="8" t="s">
        <v>56</v>
      </c>
      <c r="J905" s="9">
        <v>10</v>
      </c>
      <c r="K905" s="9">
        <v>543</v>
      </c>
      <c r="L905" s="9">
        <v>2024</v>
      </c>
      <c r="M905" s="8" t="s">
        <v>5878</v>
      </c>
      <c r="N905" s="8" t="s">
        <v>41</v>
      </c>
      <c r="O905" s="8" t="s">
        <v>514</v>
      </c>
      <c r="P905" s="6" t="s">
        <v>43</v>
      </c>
      <c r="Q905" s="8" t="s">
        <v>44</v>
      </c>
      <c r="R905" s="10" t="s">
        <v>1697</v>
      </c>
      <c r="S905" s="11" t="s">
        <v>2033</v>
      </c>
      <c r="T905" s="6"/>
      <c r="U905" s="28" t="str">
        <f>HYPERLINK("https://media.infra-m.ru/2149/2149664/cover/2149664.jpg", "Обложка")</f>
        <v>Обложка</v>
      </c>
      <c r="V905" s="28" t="str">
        <f>HYPERLINK("https://znanium.ru/catalog/product/1063618", "Ознакомиться")</f>
        <v>Ознакомиться</v>
      </c>
      <c r="W905" s="8" t="s">
        <v>2727</v>
      </c>
      <c r="X905" s="6"/>
      <c r="Y905" s="6"/>
      <c r="Z905" s="6"/>
      <c r="AA905" s="6" t="s">
        <v>4513</v>
      </c>
    </row>
    <row r="906" spans="1:27" s="4" customFormat="1" ht="51.95" customHeight="1">
      <c r="A906" s="5">
        <v>0</v>
      </c>
      <c r="B906" s="6" t="s">
        <v>5879</v>
      </c>
      <c r="C906" s="7">
        <v>1204</v>
      </c>
      <c r="D906" s="8" t="s">
        <v>5880</v>
      </c>
      <c r="E906" s="8" t="s">
        <v>5881</v>
      </c>
      <c r="F906" s="8" t="s">
        <v>5882</v>
      </c>
      <c r="G906" s="6" t="s">
        <v>37</v>
      </c>
      <c r="H906" s="6" t="s">
        <v>55</v>
      </c>
      <c r="I906" s="8" t="s">
        <v>1004</v>
      </c>
      <c r="J906" s="9">
        <v>1</v>
      </c>
      <c r="K906" s="9">
        <v>256</v>
      </c>
      <c r="L906" s="9">
        <v>2024</v>
      </c>
      <c r="M906" s="8" t="s">
        <v>5883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4860</v>
      </c>
      <c r="S906" s="11" t="s">
        <v>5884</v>
      </c>
      <c r="T906" s="6"/>
      <c r="U906" s="28" t="str">
        <f>HYPERLINK("https://media.infra-m.ru/2130/2130081/cover/2130081.jpg", "Обложка")</f>
        <v>Обложка</v>
      </c>
      <c r="V906" s="28" t="str">
        <f>HYPERLINK("https://znanium.ru/catalog/product/1058462", "Ознакомиться")</f>
        <v>Ознакомиться</v>
      </c>
      <c r="W906" s="8"/>
      <c r="X906" s="6"/>
      <c r="Y906" s="6"/>
      <c r="Z906" s="6"/>
      <c r="AA906" s="6" t="s">
        <v>1473</v>
      </c>
    </row>
    <row r="907" spans="1:27" s="4" customFormat="1" ht="51.95" customHeight="1">
      <c r="A907" s="5">
        <v>0</v>
      </c>
      <c r="B907" s="6" t="s">
        <v>5885</v>
      </c>
      <c r="C907" s="13">
        <v>570</v>
      </c>
      <c r="D907" s="8" t="s">
        <v>5886</v>
      </c>
      <c r="E907" s="8" t="s">
        <v>5887</v>
      </c>
      <c r="F907" s="8" t="s">
        <v>5888</v>
      </c>
      <c r="G907" s="6" t="s">
        <v>54</v>
      </c>
      <c r="H907" s="6" t="s">
        <v>79</v>
      </c>
      <c r="I907" s="8" t="s">
        <v>39</v>
      </c>
      <c r="J907" s="9">
        <v>1</v>
      </c>
      <c r="K907" s="9">
        <v>122</v>
      </c>
      <c r="L907" s="9">
        <v>2024</v>
      </c>
      <c r="M907" s="8" t="s">
        <v>5889</v>
      </c>
      <c r="N907" s="8" t="s">
        <v>41</v>
      </c>
      <c r="O907" s="8" t="s">
        <v>209</v>
      </c>
      <c r="P907" s="6" t="s">
        <v>43</v>
      </c>
      <c r="Q907" s="8" t="s">
        <v>44</v>
      </c>
      <c r="R907" s="10" t="s">
        <v>5890</v>
      </c>
      <c r="S907" s="11" t="s">
        <v>5891</v>
      </c>
      <c r="T907" s="6" t="s">
        <v>110</v>
      </c>
      <c r="U907" s="28" t="str">
        <f>HYPERLINK("https://media.infra-m.ru/2081/2081894/cover/2081894.jpg", "Обложка")</f>
        <v>Обложка</v>
      </c>
      <c r="V907" s="28" t="str">
        <f>HYPERLINK("https://znanium.ru/catalog/product/2081894", "Ознакомиться")</f>
        <v>Ознакомиться</v>
      </c>
      <c r="W907" s="8" t="s">
        <v>172</v>
      </c>
      <c r="X907" s="6"/>
      <c r="Y907" s="6"/>
      <c r="Z907" s="6" t="s">
        <v>687</v>
      </c>
      <c r="AA907" s="6" t="s">
        <v>213</v>
      </c>
    </row>
    <row r="908" spans="1:27" s="4" customFormat="1" ht="51.95" customHeight="1">
      <c r="A908" s="5">
        <v>0</v>
      </c>
      <c r="B908" s="6" t="s">
        <v>5892</v>
      </c>
      <c r="C908" s="7">
        <v>1544</v>
      </c>
      <c r="D908" s="8" t="s">
        <v>5893</v>
      </c>
      <c r="E908" s="8" t="s">
        <v>5894</v>
      </c>
      <c r="F908" s="8" t="s">
        <v>5895</v>
      </c>
      <c r="G908" s="6" t="s">
        <v>66</v>
      </c>
      <c r="H908" s="6" t="s">
        <v>38</v>
      </c>
      <c r="I908" s="8" t="s">
        <v>5896</v>
      </c>
      <c r="J908" s="9">
        <v>1</v>
      </c>
      <c r="K908" s="9">
        <v>336</v>
      </c>
      <c r="L908" s="9">
        <v>2023</v>
      </c>
      <c r="M908" s="8" t="s">
        <v>5897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515</v>
      </c>
      <c r="S908" s="11" t="s">
        <v>5898</v>
      </c>
      <c r="T908" s="6"/>
      <c r="U908" s="28" t="str">
        <f>HYPERLINK("https://media.infra-m.ru/2080/2080245/cover/2080245.jpg", "Обложка")</f>
        <v>Обложка</v>
      </c>
      <c r="V908" s="28" t="str">
        <f>HYPERLINK("https://znanium.ru/catalog/product/1758022", "Ознакомиться")</f>
        <v>Ознакомиться</v>
      </c>
      <c r="W908" s="8" t="s">
        <v>3802</v>
      </c>
      <c r="X908" s="6"/>
      <c r="Y908" s="6"/>
      <c r="Z908" s="6"/>
      <c r="AA908" s="6" t="s">
        <v>1350</v>
      </c>
    </row>
    <row r="909" spans="1:27" s="4" customFormat="1" ht="51.95" customHeight="1">
      <c r="A909" s="5">
        <v>0</v>
      </c>
      <c r="B909" s="6" t="s">
        <v>5899</v>
      </c>
      <c r="C909" s="13">
        <v>790</v>
      </c>
      <c r="D909" s="8" t="s">
        <v>5900</v>
      </c>
      <c r="E909" s="8" t="s">
        <v>5901</v>
      </c>
      <c r="F909" s="8" t="s">
        <v>5902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174</v>
      </c>
      <c r="L909" s="9">
        <v>2023</v>
      </c>
      <c r="M909" s="8" t="s">
        <v>5903</v>
      </c>
      <c r="N909" s="8" t="s">
        <v>1171</v>
      </c>
      <c r="O909" s="8" t="s">
        <v>1172</v>
      </c>
      <c r="P909" s="6" t="s">
        <v>43</v>
      </c>
      <c r="Q909" s="8" t="s">
        <v>44</v>
      </c>
      <c r="R909" s="10" t="s">
        <v>1309</v>
      </c>
      <c r="S909" s="11" t="s">
        <v>5904</v>
      </c>
      <c r="T909" s="6"/>
      <c r="U909" s="28" t="str">
        <f>HYPERLINK("https://media.infra-m.ru/1991/1991866/cover/1991866.jpg", "Обложка")</f>
        <v>Обложка</v>
      </c>
      <c r="V909" s="28" t="str">
        <f>HYPERLINK("https://znanium.ru/catalog/product/1991866", "Ознакомиться")</f>
        <v>Ознакомиться</v>
      </c>
      <c r="W909" s="8" t="s">
        <v>1971</v>
      </c>
      <c r="X909" s="6"/>
      <c r="Y909" s="6"/>
      <c r="Z909" s="6" t="s">
        <v>48</v>
      </c>
      <c r="AA909" s="6" t="s">
        <v>921</v>
      </c>
    </row>
    <row r="910" spans="1:27" s="4" customFormat="1" ht="51.95" customHeight="1">
      <c r="A910" s="5">
        <v>0</v>
      </c>
      <c r="B910" s="6" t="s">
        <v>5905</v>
      </c>
      <c r="C910" s="13">
        <v>984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208</v>
      </c>
      <c r="L910" s="9">
        <v>2024</v>
      </c>
      <c r="M910" s="8" t="s">
        <v>5909</v>
      </c>
      <c r="N910" s="8" t="s">
        <v>41</v>
      </c>
      <c r="O910" s="8" t="s">
        <v>160</v>
      </c>
      <c r="P910" s="6" t="s">
        <v>70</v>
      </c>
      <c r="Q910" s="8" t="s">
        <v>44</v>
      </c>
      <c r="R910" s="10" t="s">
        <v>5910</v>
      </c>
      <c r="S910" s="11" t="s">
        <v>5911</v>
      </c>
      <c r="T910" s="6"/>
      <c r="U910" s="28" t="str">
        <f>HYPERLINK("https://media.infra-m.ru/2150/2150239/cover/2150239.jpg", "Обложка")</f>
        <v>Обложка</v>
      </c>
      <c r="V910" s="28" t="str">
        <f>HYPERLINK("https://znanium.ru/catalog/product/1913303", "Ознакомиться")</f>
        <v>Ознакомиться</v>
      </c>
      <c r="W910" s="8" t="s">
        <v>5912</v>
      </c>
      <c r="X910" s="6"/>
      <c r="Y910" s="6"/>
      <c r="Z910" s="6"/>
      <c r="AA910" s="6" t="s">
        <v>245</v>
      </c>
    </row>
    <row r="911" spans="1:27" s="4" customFormat="1" ht="51.95" customHeight="1">
      <c r="A911" s="5">
        <v>0</v>
      </c>
      <c r="B911" s="6" t="s">
        <v>5913</v>
      </c>
      <c r="C911" s="7">
        <v>1024</v>
      </c>
      <c r="D911" s="8" t="s">
        <v>5914</v>
      </c>
      <c r="E911" s="8" t="s">
        <v>5915</v>
      </c>
      <c r="F911" s="8" t="s">
        <v>5916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218</v>
      </c>
      <c r="L911" s="9">
        <v>2024</v>
      </c>
      <c r="M911" s="8" t="s">
        <v>5917</v>
      </c>
      <c r="N911" s="8" t="s">
        <v>41</v>
      </c>
      <c r="O911" s="8" t="s">
        <v>178</v>
      </c>
      <c r="P911" s="6" t="s">
        <v>70</v>
      </c>
      <c r="Q911" s="8" t="s">
        <v>44</v>
      </c>
      <c r="R911" s="10" t="s">
        <v>5918</v>
      </c>
      <c r="S911" s="11" t="s">
        <v>5919</v>
      </c>
      <c r="T911" s="6"/>
      <c r="U911" s="28" t="str">
        <f>HYPERLINK("https://media.infra-m.ru/2113/2113872/cover/2113872.jpg", "Обложка")</f>
        <v>Обложка</v>
      </c>
      <c r="V911" s="28" t="str">
        <f>HYPERLINK("https://znanium.ru/catalog/product/1845218", "Ознакомиться")</f>
        <v>Ознакомиться</v>
      </c>
      <c r="W911" s="8" t="s">
        <v>4842</v>
      </c>
      <c r="X911" s="6"/>
      <c r="Y911" s="6" t="s">
        <v>30</v>
      </c>
      <c r="Z911" s="6"/>
      <c r="AA911" s="6" t="s">
        <v>2858</v>
      </c>
    </row>
    <row r="912" spans="1:27" s="4" customFormat="1" ht="51.95" customHeight="1">
      <c r="A912" s="5">
        <v>0</v>
      </c>
      <c r="B912" s="6" t="s">
        <v>5920</v>
      </c>
      <c r="C912" s="7">
        <v>1160</v>
      </c>
      <c r="D912" s="8" t="s">
        <v>5921</v>
      </c>
      <c r="E912" s="8" t="s">
        <v>5922</v>
      </c>
      <c r="F912" s="8" t="s">
        <v>5923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251</v>
      </c>
      <c r="L912" s="9">
        <v>2024</v>
      </c>
      <c r="M912" s="8" t="s">
        <v>5924</v>
      </c>
      <c r="N912" s="8" t="s">
        <v>1171</v>
      </c>
      <c r="O912" s="8" t="s">
        <v>1172</v>
      </c>
      <c r="P912" s="6" t="s">
        <v>43</v>
      </c>
      <c r="Q912" s="8" t="s">
        <v>44</v>
      </c>
      <c r="R912" s="10" t="s">
        <v>1737</v>
      </c>
      <c r="S912" s="11" t="s">
        <v>5925</v>
      </c>
      <c r="T912" s="6"/>
      <c r="U912" s="28" t="str">
        <f>HYPERLINK("https://media.infra-m.ru/2100/2100010/cover/2100010.jpg", "Обложка")</f>
        <v>Обложка</v>
      </c>
      <c r="V912" s="28" t="str">
        <f>HYPERLINK("https://znanium.ru/catalog/product/2100010", "Ознакомиться")</f>
        <v>Ознакомиться</v>
      </c>
      <c r="W912" s="8" t="s">
        <v>5926</v>
      </c>
      <c r="X912" s="6"/>
      <c r="Y912" s="6"/>
      <c r="Z912" s="6" t="s">
        <v>48</v>
      </c>
      <c r="AA912" s="6" t="s">
        <v>213</v>
      </c>
    </row>
    <row r="913" spans="1:27" s="4" customFormat="1" ht="51.95" customHeight="1">
      <c r="A913" s="5">
        <v>0</v>
      </c>
      <c r="B913" s="6" t="s">
        <v>5927</v>
      </c>
      <c r="C913" s="7">
        <v>1710</v>
      </c>
      <c r="D913" s="8" t="s">
        <v>5928</v>
      </c>
      <c r="E913" s="8" t="s">
        <v>5929</v>
      </c>
      <c r="F913" s="8" t="s">
        <v>5294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462</v>
      </c>
      <c r="L913" s="9">
        <v>2022</v>
      </c>
      <c r="M913" s="8" t="s">
        <v>5930</v>
      </c>
      <c r="N913" s="8" t="s">
        <v>41</v>
      </c>
      <c r="O913" s="8" t="s">
        <v>42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 t="s">
        <v>110</v>
      </c>
      <c r="U913" s="28" t="str">
        <f>HYPERLINK("https://media.infra-m.ru/1764/1764799/cover/1764799.jpg", "Обложка")</f>
        <v>Обложка</v>
      </c>
      <c r="V913" s="28" t="str">
        <f>HYPERLINK("https://znanium.ru/catalog/product/1764799", "Ознакомиться")</f>
        <v>Ознакомиться</v>
      </c>
      <c r="W913" s="8" t="s">
        <v>5298</v>
      </c>
      <c r="X913" s="6"/>
      <c r="Y913" s="6" t="s">
        <v>30</v>
      </c>
      <c r="Z913" s="6" t="s">
        <v>48</v>
      </c>
      <c r="AA913" s="6" t="s">
        <v>475</v>
      </c>
    </row>
    <row r="914" spans="1:27" s="4" customFormat="1" ht="42" customHeight="1">
      <c r="A914" s="5">
        <v>0</v>
      </c>
      <c r="B914" s="6" t="s">
        <v>5933</v>
      </c>
      <c r="C914" s="7">
        <v>2300</v>
      </c>
      <c r="D914" s="8" t="s">
        <v>5934</v>
      </c>
      <c r="E914" s="8" t="s">
        <v>5935</v>
      </c>
      <c r="F914" s="8" t="s">
        <v>5936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510</v>
      </c>
      <c r="L914" s="9">
        <v>2022</v>
      </c>
      <c r="M914" s="8" t="s">
        <v>5937</v>
      </c>
      <c r="N914" s="8" t="s">
        <v>41</v>
      </c>
      <c r="O914" s="8" t="s">
        <v>160</v>
      </c>
      <c r="P914" s="6" t="s">
        <v>1317</v>
      </c>
      <c r="Q914" s="8" t="s">
        <v>44</v>
      </c>
      <c r="R914" s="10" t="s">
        <v>5938</v>
      </c>
      <c r="S914" s="11"/>
      <c r="T914" s="6"/>
      <c r="U914" s="28" t="str">
        <f>HYPERLINK("https://media.infra-m.ru/1860/1860517/cover/1860517.jpg", "Обложка")</f>
        <v>Обложка</v>
      </c>
      <c r="V914" s="28" t="str">
        <f>HYPERLINK("https://znanium.ru/catalog/product/1860517", "Ознакомиться")</f>
        <v>Ознакомиться</v>
      </c>
      <c r="W914" s="8" t="s">
        <v>163</v>
      </c>
      <c r="X914" s="6"/>
      <c r="Y914" s="6"/>
      <c r="Z914" s="6"/>
      <c r="AA914" s="6" t="s">
        <v>1990</v>
      </c>
    </row>
    <row r="915" spans="1:27" s="4" customFormat="1" ht="51.95" customHeight="1">
      <c r="A915" s="5">
        <v>0</v>
      </c>
      <c r="B915" s="6" t="s">
        <v>5939</v>
      </c>
      <c r="C915" s="7">
        <v>1280</v>
      </c>
      <c r="D915" s="8" t="s">
        <v>5940</v>
      </c>
      <c r="E915" s="8" t="s">
        <v>5941</v>
      </c>
      <c r="F915" s="8" t="s">
        <v>5942</v>
      </c>
      <c r="G915" s="6" t="s">
        <v>66</v>
      </c>
      <c r="H915" s="6" t="s">
        <v>38</v>
      </c>
      <c r="I915" s="8" t="s">
        <v>56</v>
      </c>
      <c r="J915" s="9">
        <v>1</v>
      </c>
      <c r="K915" s="9">
        <v>335</v>
      </c>
      <c r="L915" s="9">
        <v>2022</v>
      </c>
      <c r="M915" s="8" t="s">
        <v>5943</v>
      </c>
      <c r="N915" s="8" t="s">
        <v>68</v>
      </c>
      <c r="O915" s="8" t="s">
        <v>327</v>
      </c>
      <c r="P915" s="6" t="s">
        <v>70</v>
      </c>
      <c r="Q915" s="8" t="s">
        <v>44</v>
      </c>
      <c r="R915" s="10" t="s">
        <v>4571</v>
      </c>
      <c r="S915" s="11" t="s">
        <v>854</v>
      </c>
      <c r="T915" s="6"/>
      <c r="U915" s="28" t="str">
        <f>HYPERLINK("https://media.infra-m.ru/1866/1866999/cover/1866999.jpg", "Обложка")</f>
        <v>Обложка</v>
      </c>
      <c r="V915" s="28" t="str">
        <f>HYPERLINK("https://znanium.ru/catalog/product/1866999", "Ознакомиться")</f>
        <v>Ознакомиться</v>
      </c>
      <c r="W915" s="8" t="s">
        <v>5944</v>
      </c>
      <c r="X915" s="6"/>
      <c r="Y915" s="6"/>
      <c r="Z915" s="6"/>
      <c r="AA915" s="6" t="s">
        <v>1512</v>
      </c>
    </row>
    <row r="916" spans="1:27" s="4" customFormat="1" ht="51.95" customHeight="1">
      <c r="A916" s="5">
        <v>0</v>
      </c>
      <c r="B916" s="6" t="s">
        <v>5945</v>
      </c>
      <c r="C916" s="13">
        <v>880</v>
      </c>
      <c r="D916" s="8" t="s">
        <v>5946</v>
      </c>
      <c r="E916" s="8" t="s">
        <v>5947</v>
      </c>
      <c r="F916" s="8" t="s">
        <v>4396</v>
      </c>
      <c r="G916" s="6" t="s">
        <v>66</v>
      </c>
      <c r="H916" s="6" t="s">
        <v>283</v>
      </c>
      <c r="I916" s="8" t="s">
        <v>39</v>
      </c>
      <c r="J916" s="9">
        <v>1</v>
      </c>
      <c r="K916" s="9">
        <v>192</v>
      </c>
      <c r="L916" s="9">
        <v>2024</v>
      </c>
      <c r="M916" s="8" t="s">
        <v>5948</v>
      </c>
      <c r="N916" s="8" t="s">
        <v>68</v>
      </c>
      <c r="O916" s="8" t="s">
        <v>327</v>
      </c>
      <c r="P916" s="6" t="s">
        <v>43</v>
      </c>
      <c r="Q916" s="8" t="s">
        <v>44</v>
      </c>
      <c r="R916" s="10" t="s">
        <v>5949</v>
      </c>
      <c r="S916" s="11" t="s">
        <v>5950</v>
      </c>
      <c r="T916" s="6"/>
      <c r="U916" s="28" t="str">
        <f>HYPERLINK("https://media.infra-m.ru/2128/2128805/cover/2128805.jpg", "Обложка")</f>
        <v>Обложка</v>
      </c>
      <c r="V916" s="28" t="str">
        <f>HYPERLINK("https://znanium.ru/catalog/product/2128805", "Ознакомиться")</f>
        <v>Ознакомиться</v>
      </c>
      <c r="W916" s="8" t="s">
        <v>3714</v>
      </c>
      <c r="X916" s="6"/>
      <c r="Y916" s="6"/>
      <c r="Z916" s="6"/>
      <c r="AA916" s="6" t="s">
        <v>288</v>
      </c>
    </row>
    <row r="917" spans="1:27" s="4" customFormat="1" ht="51.95" customHeight="1">
      <c r="A917" s="5">
        <v>0</v>
      </c>
      <c r="B917" s="6" t="s">
        <v>5951</v>
      </c>
      <c r="C917" s="13">
        <v>750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79</v>
      </c>
      <c r="I917" s="8" t="s">
        <v>39</v>
      </c>
      <c r="J917" s="9">
        <v>1</v>
      </c>
      <c r="K917" s="9">
        <v>159</v>
      </c>
      <c r="L917" s="9">
        <v>2024</v>
      </c>
      <c r="M917" s="8" t="s">
        <v>5955</v>
      </c>
      <c r="N917" s="8" t="s">
        <v>118</v>
      </c>
      <c r="O917" s="8" t="s">
        <v>4018</v>
      </c>
      <c r="P917" s="6" t="s">
        <v>43</v>
      </c>
      <c r="Q917" s="8" t="s">
        <v>44</v>
      </c>
      <c r="R917" s="10" t="s">
        <v>5956</v>
      </c>
      <c r="S917" s="11" t="s">
        <v>5957</v>
      </c>
      <c r="T917" s="6"/>
      <c r="U917" s="28" t="str">
        <f>HYPERLINK("https://media.infra-m.ru/2141/2141435/cover/2141435.jpg", "Обложка")</f>
        <v>Обложка</v>
      </c>
      <c r="V917" s="28" t="str">
        <f>HYPERLINK("https://znanium.ru/catalog/product/2141435", "Ознакомиться")</f>
        <v>Ознакомиться</v>
      </c>
      <c r="W917" s="8" t="s">
        <v>5958</v>
      </c>
      <c r="X917" s="6"/>
      <c r="Y917" s="6"/>
      <c r="Z917" s="6" t="s">
        <v>48</v>
      </c>
      <c r="AA917" s="6" t="s">
        <v>94</v>
      </c>
    </row>
    <row r="918" spans="1:27" s="4" customFormat="1" ht="42" customHeight="1">
      <c r="A918" s="5">
        <v>0</v>
      </c>
      <c r="B918" s="6" t="s">
        <v>5959</v>
      </c>
      <c r="C918" s="7">
        <v>1224.9000000000001</v>
      </c>
      <c r="D918" s="8" t="s">
        <v>5960</v>
      </c>
      <c r="E918" s="8" t="s">
        <v>5961</v>
      </c>
      <c r="F918" s="8" t="s">
        <v>5962</v>
      </c>
      <c r="G918" s="6" t="s">
        <v>37</v>
      </c>
      <c r="H918" s="6" t="s">
        <v>866</v>
      </c>
      <c r="I918" s="8"/>
      <c r="J918" s="9">
        <v>1</v>
      </c>
      <c r="K918" s="9">
        <v>384</v>
      </c>
      <c r="L918" s="9">
        <v>2019</v>
      </c>
      <c r="M918" s="8" t="s">
        <v>5963</v>
      </c>
      <c r="N918" s="8" t="s">
        <v>1171</v>
      </c>
      <c r="O918" s="8" t="s">
        <v>1172</v>
      </c>
      <c r="P918" s="6" t="s">
        <v>43</v>
      </c>
      <c r="Q918" s="8" t="s">
        <v>44</v>
      </c>
      <c r="R918" s="10" t="s">
        <v>5964</v>
      </c>
      <c r="S918" s="11"/>
      <c r="T918" s="6"/>
      <c r="U918" s="28" t="str">
        <f>HYPERLINK("https://media.infra-m.ru/1002/1002354/cover/1002354.jpg", "Обложка")</f>
        <v>Обложка</v>
      </c>
      <c r="V918" s="28" t="str">
        <f>HYPERLINK("https://znanium.ru/catalog/product/1843625", "Ознакомиться")</f>
        <v>Ознакомиться</v>
      </c>
      <c r="W918" s="8" t="s">
        <v>1637</v>
      </c>
      <c r="X918" s="6"/>
      <c r="Y918" s="6"/>
      <c r="Z918" s="6"/>
      <c r="AA918" s="6" t="s">
        <v>245</v>
      </c>
    </row>
    <row r="919" spans="1:27" s="4" customFormat="1" ht="51.95" customHeight="1">
      <c r="A919" s="5">
        <v>0</v>
      </c>
      <c r="B919" s="6" t="s">
        <v>5965</v>
      </c>
      <c r="C919" s="7">
        <v>1570</v>
      </c>
      <c r="D919" s="8" t="s">
        <v>5966</v>
      </c>
      <c r="E919" s="8" t="s">
        <v>5967</v>
      </c>
      <c r="F919" s="8" t="s">
        <v>5968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334</v>
      </c>
      <c r="L919" s="9">
        <v>2024</v>
      </c>
      <c r="M919" s="8" t="s">
        <v>5969</v>
      </c>
      <c r="N919" s="8" t="s">
        <v>41</v>
      </c>
      <c r="O919" s="8" t="s">
        <v>178</v>
      </c>
      <c r="P919" s="6" t="s">
        <v>43</v>
      </c>
      <c r="Q919" s="8" t="s">
        <v>44</v>
      </c>
      <c r="R919" s="10" t="s">
        <v>235</v>
      </c>
      <c r="S919" s="11" t="s">
        <v>5970</v>
      </c>
      <c r="T919" s="6"/>
      <c r="U919" s="28" t="str">
        <f>HYPERLINK("https://media.infra-m.ru/2139/2139112/cover/2139112.jpg", "Обложка")</f>
        <v>Обложка</v>
      </c>
      <c r="V919" s="28" t="str">
        <f>HYPERLINK("https://znanium.ru/catalog/product/2139112", "Ознакомиться")</f>
        <v>Ознакомиться</v>
      </c>
      <c r="W919" s="8" t="s">
        <v>172</v>
      </c>
      <c r="X919" s="6"/>
      <c r="Y919" s="6"/>
      <c r="Z919" s="6"/>
      <c r="AA919" s="6" t="s">
        <v>262</v>
      </c>
    </row>
    <row r="920" spans="1:27" s="4" customFormat="1" ht="51.95" customHeight="1">
      <c r="A920" s="5">
        <v>0</v>
      </c>
      <c r="B920" s="6" t="s">
        <v>5971</v>
      </c>
      <c r="C920" s="7">
        <v>1794.9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38</v>
      </c>
      <c r="I920" s="8" t="s">
        <v>56</v>
      </c>
      <c r="J920" s="9">
        <v>1</v>
      </c>
      <c r="K920" s="9">
        <v>400</v>
      </c>
      <c r="L920" s="9">
        <v>2023</v>
      </c>
      <c r="M920" s="8" t="s">
        <v>5975</v>
      </c>
      <c r="N920" s="8" t="s">
        <v>41</v>
      </c>
      <c r="O920" s="8" t="s">
        <v>160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HYPERLINK("https://media.infra-m.ru/1910/1910605/cover/1910605.jpg", "Обложка")</f>
        <v>Обложка</v>
      </c>
      <c r="V920" s="28" t="str">
        <f>HYPERLINK("https://znanium.ru/catalog/product/1138794", "Ознакомиться")</f>
        <v>Ознакомиться</v>
      </c>
      <c r="W920" s="8" t="s">
        <v>163</v>
      </c>
      <c r="X920" s="6"/>
      <c r="Y920" s="6"/>
      <c r="Z920" s="6"/>
      <c r="AA920" s="6" t="s">
        <v>5977</v>
      </c>
    </row>
    <row r="921" spans="1:27" s="4" customFormat="1" ht="51.95" customHeight="1">
      <c r="A921" s="5">
        <v>0</v>
      </c>
      <c r="B921" s="6" t="s">
        <v>5978</v>
      </c>
      <c r="C921" s="7">
        <v>1434</v>
      </c>
      <c r="D921" s="8" t="s">
        <v>5979</v>
      </c>
      <c r="E921" s="8" t="s">
        <v>5980</v>
      </c>
      <c r="F921" s="8" t="s">
        <v>5381</v>
      </c>
      <c r="G921" s="6" t="s">
        <v>66</v>
      </c>
      <c r="H921" s="6" t="s">
        <v>283</v>
      </c>
      <c r="I921" s="8" t="s">
        <v>39</v>
      </c>
      <c r="J921" s="9">
        <v>1</v>
      </c>
      <c r="K921" s="9">
        <v>304</v>
      </c>
      <c r="L921" s="9">
        <v>2024</v>
      </c>
      <c r="M921" s="8" t="s">
        <v>5981</v>
      </c>
      <c r="N921" s="8" t="s">
        <v>41</v>
      </c>
      <c r="O921" s="8" t="s">
        <v>160</v>
      </c>
      <c r="P921" s="6" t="s">
        <v>43</v>
      </c>
      <c r="Q921" s="8" t="s">
        <v>44</v>
      </c>
      <c r="R921" s="10" t="s">
        <v>5982</v>
      </c>
      <c r="S921" s="11" t="s">
        <v>5395</v>
      </c>
      <c r="T921" s="6"/>
      <c r="U921" s="28" t="str">
        <f>HYPERLINK("https://media.infra-m.ru/2149/2149187/cover/2149187.jpg", "Обложка")</f>
        <v>Обложка</v>
      </c>
      <c r="V921" s="28" t="str">
        <f>HYPERLINK("https://znanium.ru/catalog/product/1895658", "Ознакомиться")</f>
        <v>Ознакомиться</v>
      </c>
      <c r="W921" s="8" t="s">
        <v>172</v>
      </c>
      <c r="X921" s="6"/>
      <c r="Y921" s="6"/>
      <c r="Z921" s="6"/>
      <c r="AA921" s="6" t="s">
        <v>138</v>
      </c>
    </row>
    <row r="922" spans="1:27" s="4" customFormat="1" ht="51.95" customHeight="1">
      <c r="A922" s="5">
        <v>0</v>
      </c>
      <c r="B922" s="6" t="s">
        <v>5983</v>
      </c>
      <c r="C922" s="7">
        <v>1240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262</v>
      </c>
      <c r="L922" s="9">
        <v>2023</v>
      </c>
      <c r="M922" s="8" t="s">
        <v>5987</v>
      </c>
      <c r="N922" s="8" t="s">
        <v>41</v>
      </c>
      <c r="O922" s="8" t="s">
        <v>160</v>
      </c>
      <c r="P922" s="6" t="s">
        <v>1317</v>
      </c>
      <c r="Q922" s="8" t="s">
        <v>44</v>
      </c>
      <c r="R922" s="10" t="s">
        <v>5988</v>
      </c>
      <c r="S922" s="11"/>
      <c r="T922" s="6"/>
      <c r="U922" s="28" t="str">
        <f>HYPERLINK("https://media.infra-m.ru/2126/2126765/cover/2126765.jpg", "Обложка")</f>
        <v>Обложка</v>
      </c>
      <c r="V922" s="28" t="str">
        <f>HYPERLINK("https://znanium.ru/catalog/product/2106211", "Ознакомиться")</f>
        <v>Ознакомиться</v>
      </c>
      <c r="W922" s="8" t="s">
        <v>163</v>
      </c>
      <c r="X922" s="6"/>
      <c r="Y922" s="6"/>
      <c r="Z922" s="6"/>
      <c r="AA922" s="6" t="s">
        <v>348</v>
      </c>
    </row>
    <row r="923" spans="1:27" s="4" customFormat="1" ht="51.95" customHeight="1">
      <c r="A923" s="5">
        <v>0</v>
      </c>
      <c r="B923" s="6" t="s">
        <v>5989</v>
      </c>
      <c r="C923" s="7">
        <v>1864.9</v>
      </c>
      <c r="D923" s="8" t="s">
        <v>5990</v>
      </c>
      <c r="E923" s="8" t="s">
        <v>5991</v>
      </c>
      <c r="F923" s="8" t="s">
        <v>5936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412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 t="s">
        <v>5994</v>
      </c>
      <c r="T923" s="6"/>
      <c r="U923" s="28" t="str">
        <f>HYPERLINK("https://media.infra-m.ru/1940/1940017/cover/1940017.jpg", "Обложка")</f>
        <v>Обложка</v>
      </c>
      <c r="V923" s="28" t="str">
        <f>HYPERLINK("https://znanium.ru/catalog/product/1865505", "Ознакомиться")</f>
        <v>Ознакомиться</v>
      </c>
      <c r="W923" s="8" t="s">
        <v>163</v>
      </c>
      <c r="X923" s="6"/>
      <c r="Y923" s="6" t="s">
        <v>30</v>
      </c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13">
        <v>650</v>
      </c>
      <c r="D924" s="8" t="s">
        <v>5997</v>
      </c>
      <c r="E924" s="8" t="s">
        <v>5998</v>
      </c>
      <c r="F924" s="8" t="s">
        <v>5603</v>
      </c>
      <c r="G924" s="6" t="s">
        <v>54</v>
      </c>
      <c r="H924" s="6" t="s">
        <v>79</v>
      </c>
      <c r="I924" s="8" t="s">
        <v>39</v>
      </c>
      <c r="J924" s="9">
        <v>1</v>
      </c>
      <c r="K924" s="9">
        <v>136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6001</v>
      </c>
      <c r="T924" s="6"/>
      <c r="U924" s="28" t="str">
        <f>HYPERLINK("https://media.infra-m.ru/2103/2103212/cover/2103212.jpg", "Обложка")</f>
        <v>Обложка</v>
      </c>
      <c r="V924" s="28" t="str">
        <f>HYPERLINK("https://znanium.ru/catalog/product/2103212", "Ознакомиться")</f>
        <v>Ознакомиться</v>
      </c>
      <c r="W924" s="8"/>
      <c r="X924" s="6"/>
      <c r="Y924" s="6"/>
      <c r="Z924" s="6"/>
      <c r="AA924" s="6" t="s">
        <v>1552</v>
      </c>
    </row>
    <row r="925" spans="1:27" s="4" customFormat="1" ht="51.95" customHeight="1">
      <c r="A925" s="5">
        <v>0</v>
      </c>
      <c r="B925" s="6" t="s">
        <v>6002</v>
      </c>
      <c r="C925" s="7">
        <v>1200</v>
      </c>
      <c r="D925" s="8" t="s">
        <v>6003</v>
      </c>
      <c r="E925" s="8" t="s">
        <v>6004</v>
      </c>
      <c r="F925" s="8" t="s">
        <v>3870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297</v>
      </c>
      <c r="L925" s="9">
        <v>2022</v>
      </c>
      <c r="M925" s="8" t="s">
        <v>6005</v>
      </c>
      <c r="N925" s="8" t="s">
        <v>41</v>
      </c>
      <c r="O925" s="8" t="s">
        <v>1222</v>
      </c>
      <c r="P925" s="6" t="s">
        <v>70</v>
      </c>
      <c r="Q925" s="8" t="s">
        <v>44</v>
      </c>
      <c r="R925" s="10" t="s">
        <v>6006</v>
      </c>
      <c r="S925" s="11" t="s">
        <v>6007</v>
      </c>
      <c r="T925" s="6"/>
      <c r="U925" s="28" t="str">
        <f>HYPERLINK("https://media.infra-m.ru/1864/1864125/cover/1864125.jpg", "Обложка")</f>
        <v>Обложка</v>
      </c>
      <c r="V925" s="28" t="str">
        <f>HYPERLINK("https://znanium.ru/catalog/product/1864125", "Ознакомиться")</f>
        <v>Ознакомиться</v>
      </c>
      <c r="W925" s="8" t="s">
        <v>365</v>
      </c>
      <c r="X925" s="6"/>
      <c r="Y925" s="6"/>
      <c r="Z925" s="6" t="s">
        <v>687</v>
      </c>
      <c r="AA925" s="6" t="s">
        <v>459</v>
      </c>
    </row>
    <row r="926" spans="1:27" s="4" customFormat="1" ht="51.95" customHeight="1">
      <c r="A926" s="5">
        <v>0</v>
      </c>
      <c r="B926" s="6" t="s">
        <v>6008</v>
      </c>
      <c r="C926" s="7">
        <v>1064</v>
      </c>
      <c r="D926" s="8" t="s">
        <v>6009</v>
      </c>
      <c r="E926" s="8" t="s">
        <v>6010</v>
      </c>
      <c r="F926" s="8" t="s">
        <v>6011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232</v>
      </c>
      <c r="L926" s="9">
        <v>2024</v>
      </c>
      <c r="M926" s="8" t="s">
        <v>6012</v>
      </c>
      <c r="N926" s="8" t="s">
        <v>41</v>
      </c>
      <c r="O926" s="8" t="s">
        <v>42</v>
      </c>
      <c r="P926" s="6" t="s">
        <v>43</v>
      </c>
      <c r="Q926" s="8" t="s">
        <v>44</v>
      </c>
      <c r="R926" s="10" t="s">
        <v>725</v>
      </c>
      <c r="S926" s="11" t="s">
        <v>847</v>
      </c>
      <c r="T926" s="6"/>
      <c r="U926" s="28" t="str">
        <f>HYPERLINK("https://media.infra-m.ru/2118/2118079/cover/2118079.jpg", "Обложка")</f>
        <v>Обложка</v>
      </c>
      <c r="V926" s="28" t="str">
        <f>HYPERLINK("https://znanium.ru/catalog/product/2118079", "Ознакомиться")</f>
        <v>Ознакомиться</v>
      </c>
      <c r="W926" s="8" t="s">
        <v>2471</v>
      </c>
      <c r="X926" s="6"/>
      <c r="Y926" s="6"/>
      <c r="Z926" s="6" t="s">
        <v>48</v>
      </c>
      <c r="AA926" s="6" t="s">
        <v>94</v>
      </c>
    </row>
    <row r="927" spans="1:27" s="4" customFormat="1" ht="51.95" customHeight="1">
      <c r="A927" s="5">
        <v>0</v>
      </c>
      <c r="B927" s="6" t="s">
        <v>6013</v>
      </c>
      <c r="C927" s="7">
        <v>2770</v>
      </c>
      <c r="D927" s="8" t="s">
        <v>6014</v>
      </c>
      <c r="E927" s="8" t="s">
        <v>6015</v>
      </c>
      <c r="F927" s="8" t="s">
        <v>960</v>
      </c>
      <c r="G927" s="6" t="s">
        <v>37</v>
      </c>
      <c r="H927" s="6" t="s">
        <v>79</v>
      </c>
      <c r="I927" s="8" t="s">
        <v>39</v>
      </c>
      <c r="J927" s="9">
        <v>1</v>
      </c>
      <c r="K927" s="9">
        <v>602</v>
      </c>
      <c r="L927" s="9">
        <v>2024</v>
      </c>
      <c r="M927" s="8" t="s">
        <v>6016</v>
      </c>
      <c r="N927" s="8" t="s">
        <v>41</v>
      </c>
      <c r="O927" s="8" t="s">
        <v>42</v>
      </c>
      <c r="P927" s="6" t="s">
        <v>43</v>
      </c>
      <c r="Q927" s="8" t="s">
        <v>44</v>
      </c>
      <c r="R927" s="10" t="s">
        <v>4323</v>
      </c>
      <c r="S927" s="11" t="s">
        <v>6017</v>
      </c>
      <c r="T927" s="6"/>
      <c r="U927" s="28" t="str">
        <f>HYPERLINK("https://media.infra-m.ru/1942/1942679/cover/1942679.jpg", "Обложка")</f>
        <v>Обложка</v>
      </c>
      <c r="V927" s="28" t="str">
        <f>HYPERLINK("https://znanium.ru/catalog/product/1942679", "Ознакомиться")</f>
        <v>Ознакомиться</v>
      </c>
      <c r="W927" s="8" t="s">
        <v>60</v>
      </c>
      <c r="X927" s="6" t="s">
        <v>635</v>
      </c>
      <c r="Y927" s="6"/>
      <c r="Z927" s="6" t="s">
        <v>48</v>
      </c>
      <c r="AA927" s="6" t="s">
        <v>49</v>
      </c>
    </row>
    <row r="928" spans="1:27" s="4" customFormat="1" ht="51.95" customHeight="1">
      <c r="A928" s="5">
        <v>0</v>
      </c>
      <c r="B928" s="6" t="s">
        <v>6018</v>
      </c>
      <c r="C928" s="7">
        <v>1004</v>
      </c>
      <c r="D928" s="8" t="s">
        <v>6019</v>
      </c>
      <c r="E928" s="8" t="s">
        <v>6020</v>
      </c>
      <c r="F928" s="8" t="s">
        <v>960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223</v>
      </c>
      <c r="L928" s="9">
        <v>2023</v>
      </c>
      <c r="M928" s="8" t="s">
        <v>6021</v>
      </c>
      <c r="N928" s="8" t="s">
        <v>41</v>
      </c>
      <c r="O928" s="8" t="s">
        <v>42</v>
      </c>
      <c r="P928" s="6" t="s">
        <v>43</v>
      </c>
      <c r="Q928" s="8" t="s">
        <v>44</v>
      </c>
      <c r="R928" s="10" t="s">
        <v>4323</v>
      </c>
      <c r="S928" s="11" t="s">
        <v>6017</v>
      </c>
      <c r="T928" s="6"/>
      <c r="U928" s="28" t="str">
        <f>HYPERLINK("https://media.infra-m.ru/1914/1914496/cover/1914496.jpg", "Обложка")</f>
        <v>Обложка</v>
      </c>
      <c r="V928" s="28" t="str">
        <f>HYPERLINK("https://znanium.ru/catalog/product/1942679", "Ознакомиться")</f>
        <v>Ознакомиться</v>
      </c>
      <c r="W928" s="8" t="s">
        <v>60</v>
      </c>
      <c r="X928" s="6"/>
      <c r="Y928" s="6"/>
      <c r="Z928" s="6" t="s">
        <v>48</v>
      </c>
      <c r="AA928" s="6" t="s">
        <v>656</v>
      </c>
    </row>
    <row r="929" spans="1:27" s="4" customFormat="1" ht="51.95" customHeight="1">
      <c r="A929" s="5">
        <v>0</v>
      </c>
      <c r="B929" s="6" t="s">
        <v>6022</v>
      </c>
      <c r="C929" s="7">
        <v>1990</v>
      </c>
      <c r="D929" s="8" t="s">
        <v>6023</v>
      </c>
      <c r="E929" s="8" t="s">
        <v>6024</v>
      </c>
      <c r="F929" s="8" t="s">
        <v>4654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319</v>
      </c>
      <c r="L929" s="9">
        <v>2023</v>
      </c>
      <c r="M929" s="8" t="s">
        <v>6025</v>
      </c>
      <c r="N929" s="8" t="s">
        <v>41</v>
      </c>
      <c r="O929" s="8" t="s">
        <v>160</v>
      </c>
      <c r="P929" s="6" t="s">
        <v>70</v>
      </c>
      <c r="Q929" s="8" t="s">
        <v>44</v>
      </c>
      <c r="R929" s="10" t="s">
        <v>196</v>
      </c>
      <c r="S929" s="11" t="s">
        <v>6026</v>
      </c>
      <c r="T929" s="6"/>
      <c r="U929" s="28" t="str">
        <f>HYPERLINK("https://media.infra-m.ru/1989/1989285/cover/1989285.jpg", "Обложка")</f>
        <v>Обложка</v>
      </c>
      <c r="V929" s="28" t="str">
        <f>HYPERLINK("https://znanium.ru/catalog/product/1989285", "Ознакомиться")</f>
        <v>Ознакомиться</v>
      </c>
      <c r="W929" s="8" t="s">
        <v>172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6027</v>
      </c>
      <c r="C930" s="13">
        <v>794</v>
      </c>
      <c r="D930" s="8" t="s">
        <v>6028</v>
      </c>
      <c r="E930" s="8" t="s">
        <v>6029</v>
      </c>
      <c r="F930" s="8" t="s">
        <v>4851</v>
      </c>
      <c r="G930" s="6" t="s">
        <v>37</v>
      </c>
      <c r="H930" s="6" t="s">
        <v>38</v>
      </c>
      <c r="I930" s="8" t="s">
        <v>39</v>
      </c>
      <c r="J930" s="9">
        <v>1</v>
      </c>
      <c r="K930" s="9">
        <v>174</v>
      </c>
      <c r="L930" s="9">
        <v>2023</v>
      </c>
      <c r="M930" s="8" t="s">
        <v>6030</v>
      </c>
      <c r="N930" s="8" t="s">
        <v>118</v>
      </c>
      <c r="O930" s="8" t="s">
        <v>3706</v>
      </c>
      <c r="P930" s="6" t="s">
        <v>43</v>
      </c>
      <c r="Q930" s="8" t="s">
        <v>44</v>
      </c>
      <c r="R930" s="10" t="s">
        <v>6031</v>
      </c>
      <c r="S930" s="11" t="s">
        <v>6032</v>
      </c>
      <c r="T930" s="6"/>
      <c r="U930" s="28" t="str">
        <f>HYPERLINK("https://media.infra-m.ru/2023/2023206/cover/2023206.jpg", "Обложка")</f>
        <v>Обложка</v>
      </c>
      <c r="V930" s="28" t="str">
        <f>HYPERLINK("https://znanium.ru/catalog/product/1206685", "Ознакомиться")</f>
        <v>Ознакомиться</v>
      </c>
      <c r="W930" s="8" t="s">
        <v>2238</v>
      </c>
      <c r="X930" s="6"/>
      <c r="Y930" s="6"/>
      <c r="Z930" s="6" t="s">
        <v>48</v>
      </c>
      <c r="AA930" s="6" t="s">
        <v>94</v>
      </c>
    </row>
    <row r="931" spans="1:27" s="4" customFormat="1" ht="51.95" customHeight="1">
      <c r="A931" s="5">
        <v>0</v>
      </c>
      <c r="B931" s="6" t="s">
        <v>6033</v>
      </c>
      <c r="C931" s="13">
        <v>890</v>
      </c>
      <c r="D931" s="8" t="s">
        <v>6034</v>
      </c>
      <c r="E931" s="8" t="s">
        <v>6035</v>
      </c>
      <c r="F931" s="8" t="s">
        <v>6036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248</v>
      </c>
      <c r="L931" s="9">
        <v>2021</v>
      </c>
      <c r="M931" s="8" t="s">
        <v>6037</v>
      </c>
      <c r="N931" s="8" t="s">
        <v>118</v>
      </c>
      <c r="O931" s="8" t="s">
        <v>3706</v>
      </c>
      <c r="P931" s="6" t="s">
        <v>43</v>
      </c>
      <c r="Q931" s="8" t="s">
        <v>44</v>
      </c>
      <c r="R931" s="10" t="s">
        <v>905</v>
      </c>
      <c r="S931" s="11" t="s">
        <v>6038</v>
      </c>
      <c r="T931" s="6"/>
      <c r="U931" s="28" t="str">
        <f>HYPERLINK("https://media.infra-m.ru/1229/1229820/cover/1229820.jpg", "Обложка")</f>
        <v>Обложка</v>
      </c>
      <c r="V931" s="28" t="str">
        <f>HYPERLINK("https://znanium.ru/catalog/product/1229820", "Ознакомиться")</f>
        <v>Ознакомиться</v>
      </c>
      <c r="W931" s="8" t="s">
        <v>3993</v>
      </c>
      <c r="X931" s="6"/>
      <c r="Y931" s="6"/>
      <c r="Z931" s="6" t="s">
        <v>48</v>
      </c>
      <c r="AA931" s="6" t="s">
        <v>94</v>
      </c>
    </row>
    <row r="932" spans="1:27" s="4" customFormat="1" ht="51.95" customHeight="1">
      <c r="A932" s="5">
        <v>0</v>
      </c>
      <c r="B932" s="6" t="s">
        <v>6039</v>
      </c>
      <c r="C932" s="13">
        <v>430</v>
      </c>
      <c r="D932" s="8" t="s">
        <v>6040</v>
      </c>
      <c r="E932" s="8" t="s">
        <v>6041</v>
      </c>
      <c r="F932" s="8" t="s">
        <v>6042</v>
      </c>
      <c r="G932" s="6" t="s">
        <v>54</v>
      </c>
      <c r="H932" s="6" t="s">
        <v>38</v>
      </c>
      <c r="I932" s="8" t="s">
        <v>56</v>
      </c>
      <c r="J932" s="9">
        <v>1</v>
      </c>
      <c r="K932" s="9">
        <v>72</v>
      </c>
      <c r="L932" s="9">
        <v>2024</v>
      </c>
      <c r="M932" s="8" t="s">
        <v>6043</v>
      </c>
      <c r="N932" s="8" t="s">
        <v>118</v>
      </c>
      <c r="O932" s="8" t="s">
        <v>3706</v>
      </c>
      <c r="P932" s="6" t="s">
        <v>43</v>
      </c>
      <c r="Q932" s="8" t="s">
        <v>44</v>
      </c>
      <c r="R932" s="10" t="s">
        <v>6044</v>
      </c>
      <c r="S932" s="11" t="s">
        <v>260</v>
      </c>
      <c r="T932" s="6"/>
      <c r="U932" s="28" t="str">
        <f>HYPERLINK("https://media.infra-m.ru/2048/2048066/cover/2048066.jpg", "Обложка")</f>
        <v>Обложка</v>
      </c>
      <c r="V932" s="28" t="str">
        <f>HYPERLINK("https://znanium.ru/catalog/product/2048066", "Ознакомиться")</f>
        <v>Ознакомиться</v>
      </c>
      <c r="W932" s="8" t="s">
        <v>277</v>
      </c>
      <c r="X932" s="6"/>
      <c r="Y932" s="6"/>
      <c r="Z932" s="6"/>
      <c r="AA932" s="6" t="s">
        <v>1780</v>
      </c>
    </row>
    <row r="933" spans="1:27" s="4" customFormat="1" ht="51.95" customHeight="1">
      <c r="A933" s="5">
        <v>0</v>
      </c>
      <c r="B933" s="6" t="s">
        <v>6045</v>
      </c>
      <c r="C933" s="7">
        <v>1404</v>
      </c>
      <c r="D933" s="8" t="s">
        <v>6046</v>
      </c>
      <c r="E933" s="8" t="s">
        <v>6047</v>
      </c>
      <c r="F933" s="8" t="s">
        <v>6048</v>
      </c>
      <c r="G933" s="6" t="s">
        <v>66</v>
      </c>
      <c r="H933" s="6" t="s">
        <v>283</v>
      </c>
      <c r="I933" s="8" t="s">
        <v>39</v>
      </c>
      <c r="J933" s="9">
        <v>1</v>
      </c>
      <c r="K933" s="9">
        <v>304</v>
      </c>
      <c r="L933" s="9">
        <v>2024</v>
      </c>
      <c r="M933" s="8" t="s">
        <v>6049</v>
      </c>
      <c r="N933" s="8" t="s">
        <v>118</v>
      </c>
      <c r="O933" s="8" t="s">
        <v>3706</v>
      </c>
      <c r="P933" s="6" t="s">
        <v>70</v>
      </c>
      <c r="Q933" s="8" t="s">
        <v>44</v>
      </c>
      <c r="R933" s="10" t="s">
        <v>6050</v>
      </c>
      <c r="S933" s="11" t="s">
        <v>487</v>
      </c>
      <c r="T933" s="6"/>
      <c r="U933" s="28" t="str">
        <f>HYPERLINK("https://media.infra-m.ru/2054/2054962/cover/2054962.jpg", "Обложка")</f>
        <v>Обложка</v>
      </c>
      <c r="V933" s="28" t="str">
        <f>HYPERLINK("https://znanium.ru/catalog/product/1141798", "Ознакомиться")</f>
        <v>Ознакомиться</v>
      </c>
      <c r="W933" s="8"/>
      <c r="X933" s="6"/>
      <c r="Y933" s="6"/>
      <c r="Z933" s="6"/>
      <c r="AA933" s="6" t="s">
        <v>482</v>
      </c>
    </row>
    <row r="934" spans="1:27" s="4" customFormat="1" ht="51.95" customHeight="1">
      <c r="A934" s="5">
        <v>0</v>
      </c>
      <c r="B934" s="6" t="s">
        <v>6051</v>
      </c>
      <c r="C934" s="13">
        <v>294.89999999999998</v>
      </c>
      <c r="D934" s="8" t="s">
        <v>6052</v>
      </c>
      <c r="E934" s="8" t="s">
        <v>6053</v>
      </c>
      <c r="F934" s="8" t="s">
        <v>6054</v>
      </c>
      <c r="G934" s="6" t="s">
        <v>54</v>
      </c>
      <c r="H934" s="6" t="s">
        <v>55</v>
      </c>
      <c r="I934" s="8" t="s">
        <v>56</v>
      </c>
      <c r="J934" s="9">
        <v>1</v>
      </c>
      <c r="K934" s="9">
        <v>160</v>
      </c>
      <c r="L934" s="9">
        <v>2019</v>
      </c>
      <c r="M934" s="8" t="s">
        <v>6055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6056</v>
      </c>
      <c r="S934" s="11"/>
      <c r="T934" s="6"/>
      <c r="U934" s="28" t="str">
        <f>HYPERLINK("https://media.infra-m.ru/0945/0945157/cover/945157.jpg", "Обложка")</f>
        <v>Обложка</v>
      </c>
      <c r="V934" s="28" t="str">
        <f>HYPERLINK("https://znanium.ru/catalog/product/945157", "Ознакомиться")</f>
        <v>Ознакомиться</v>
      </c>
      <c r="W934" s="8" t="s">
        <v>365</v>
      </c>
      <c r="X934" s="6"/>
      <c r="Y934" s="6"/>
      <c r="Z934" s="6"/>
      <c r="AA934" s="6" t="s">
        <v>221</v>
      </c>
    </row>
    <row r="935" spans="1:27" s="4" customFormat="1" ht="51.95" customHeight="1">
      <c r="A935" s="5">
        <v>0</v>
      </c>
      <c r="B935" s="6" t="s">
        <v>6057</v>
      </c>
      <c r="C935" s="13">
        <v>434.9</v>
      </c>
      <c r="D935" s="8" t="s">
        <v>6058</v>
      </c>
      <c r="E935" s="8" t="s">
        <v>6053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160</v>
      </c>
      <c r="L935" s="9">
        <v>2018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4595</v>
      </c>
      <c r="S935" s="11" t="s">
        <v>6061</v>
      </c>
      <c r="T935" s="6"/>
      <c r="U935" s="28" t="str">
        <f>HYPERLINK("https://media.infra-m.ru/0756/0756208/cover/756208.jpg", "Обложка")</f>
        <v>Обложка</v>
      </c>
      <c r="V935" s="28" t="str">
        <f>HYPERLINK("https://znanium.ru/catalog/product/1832390", "Ознакомиться")</f>
        <v>Ознакомиться</v>
      </c>
      <c r="W935" s="8" t="s">
        <v>6062</v>
      </c>
      <c r="X935" s="6"/>
      <c r="Y935" s="6"/>
      <c r="Z935" s="6"/>
      <c r="AA935" s="6" t="s">
        <v>872</v>
      </c>
    </row>
    <row r="936" spans="1:27" s="4" customFormat="1" ht="51.95" customHeight="1">
      <c r="A936" s="5">
        <v>0</v>
      </c>
      <c r="B936" s="6" t="s">
        <v>6063</v>
      </c>
      <c r="C936" s="7">
        <v>1644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79</v>
      </c>
      <c r="I936" s="8" t="s">
        <v>39</v>
      </c>
      <c r="J936" s="9">
        <v>1</v>
      </c>
      <c r="K936" s="9">
        <v>357</v>
      </c>
      <c r="L936" s="9">
        <v>2024</v>
      </c>
      <c r="M936" s="8" t="s">
        <v>6067</v>
      </c>
      <c r="N936" s="8" t="s">
        <v>118</v>
      </c>
      <c r="O936" s="8" t="s">
        <v>119</v>
      </c>
      <c r="P936" s="6" t="s">
        <v>43</v>
      </c>
      <c r="Q936" s="8" t="s">
        <v>44</v>
      </c>
      <c r="R936" s="10" t="s">
        <v>6068</v>
      </c>
      <c r="S936" s="11" t="s">
        <v>6069</v>
      </c>
      <c r="T936" s="6"/>
      <c r="U936" s="28" t="str">
        <f>HYPERLINK("https://media.infra-m.ru/2104/2104834/cover/2104834.jpg", "Обложка")</f>
        <v>Обложка</v>
      </c>
      <c r="V936" s="28" t="str">
        <f>HYPERLINK("https://znanium.ru/catalog/product/2040895", "Ознакомиться")</f>
        <v>Ознакомиться</v>
      </c>
      <c r="W936" s="8" t="s">
        <v>83</v>
      </c>
      <c r="X936" s="6"/>
      <c r="Y936" s="6"/>
      <c r="Z936" s="6" t="s">
        <v>48</v>
      </c>
      <c r="AA936" s="6" t="s">
        <v>1990</v>
      </c>
    </row>
    <row r="937" spans="1:27" s="4" customFormat="1" ht="51.95" customHeight="1">
      <c r="A937" s="5">
        <v>0</v>
      </c>
      <c r="B937" s="6" t="s">
        <v>6070</v>
      </c>
      <c r="C937" s="7">
        <v>1419.9</v>
      </c>
      <c r="D937" s="8" t="s">
        <v>6071</v>
      </c>
      <c r="E937" s="8" t="s">
        <v>6072</v>
      </c>
      <c r="F937" s="8" t="s">
        <v>6073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444</v>
      </c>
      <c r="L937" s="9">
        <v>2019</v>
      </c>
      <c r="M937" s="8" t="s">
        <v>6074</v>
      </c>
      <c r="N937" s="8" t="s">
        <v>41</v>
      </c>
      <c r="O937" s="8" t="s">
        <v>178</v>
      </c>
      <c r="P937" s="6" t="s">
        <v>70</v>
      </c>
      <c r="Q937" s="8" t="s">
        <v>44</v>
      </c>
      <c r="R937" s="10" t="s">
        <v>5823</v>
      </c>
      <c r="S937" s="11" t="s">
        <v>3641</v>
      </c>
      <c r="T937" s="6"/>
      <c r="U937" s="28" t="str">
        <f>HYPERLINK("https://media.infra-m.ru/0988/0988154/cover/988154.jpg", "Обложка")</f>
        <v>Обложка</v>
      </c>
      <c r="V937" s="28" t="str">
        <f>HYPERLINK("https://znanium.ru/catalog/product/1907521", "Ознакомиться")</f>
        <v>Ознакомиться</v>
      </c>
      <c r="W937" s="8" t="s">
        <v>6075</v>
      </c>
      <c r="X937" s="6"/>
      <c r="Y937" s="6"/>
      <c r="Z937" s="6"/>
      <c r="AA937" s="6" t="s">
        <v>1930</v>
      </c>
    </row>
    <row r="938" spans="1:27" s="4" customFormat="1" ht="51.95" customHeight="1">
      <c r="A938" s="5">
        <v>0</v>
      </c>
      <c r="B938" s="6" t="s">
        <v>6076</v>
      </c>
      <c r="C938" s="7">
        <v>2010</v>
      </c>
      <c r="D938" s="8" t="s">
        <v>6077</v>
      </c>
      <c r="E938" s="8" t="s">
        <v>6078</v>
      </c>
      <c r="F938" s="8" t="s">
        <v>6079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447</v>
      </c>
      <c r="L938" s="9">
        <v>2023</v>
      </c>
      <c r="M938" s="8" t="s">
        <v>6080</v>
      </c>
      <c r="N938" s="8" t="s">
        <v>41</v>
      </c>
      <c r="O938" s="8" t="s">
        <v>178</v>
      </c>
      <c r="P938" s="6" t="s">
        <v>70</v>
      </c>
      <c r="Q938" s="8" t="s">
        <v>44</v>
      </c>
      <c r="R938" s="10" t="s">
        <v>5823</v>
      </c>
      <c r="S938" s="11" t="s">
        <v>3641</v>
      </c>
      <c r="T938" s="6"/>
      <c r="U938" s="28" t="str">
        <f>HYPERLINK("https://media.infra-m.ru/1907/1907521/cover/1907521.jpg", "Обложка")</f>
        <v>Обложка</v>
      </c>
      <c r="V938" s="28" t="str">
        <f>HYPERLINK("https://znanium.ru/catalog/product/1907521", "Ознакомиться")</f>
        <v>Ознакомиться</v>
      </c>
      <c r="W938" s="8" t="s">
        <v>6081</v>
      </c>
      <c r="X938" s="6"/>
      <c r="Y938" s="6"/>
      <c r="Z938" s="6"/>
      <c r="AA938" s="6" t="s">
        <v>372</v>
      </c>
    </row>
    <row r="939" spans="1:27" s="4" customFormat="1" ht="51.95" customHeight="1">
      <c r="A939" s="5">
        <v>0</v>
      </c>
      <c r="B939" s="6" t="s">
        <v>6082</v>
      </c>
      <c r="C939" s="13">
        <v>994</v>
      </c>
      <c r="D939" s="8" t="s">
        <v>6083</v>
      </c>
      <c r="E939" s="8" t="s">
        <v>6084</v>
      </c>
      <c r="F939" s="8" t="s">
        <v>6079</v>
      </c>
      <c r="G939" s="6" t="s">
        <v>54</v>
      </c>
      <c r="H939" s="6" t="s">
        <v>55</v>
      </c>
      <c r="I939" s="8" t="s">
        <v>56</v>
      </c>
      <c r="J939" s="9">
        <v>1</v>
      </c>
      <c r="K939" s="9">
        <v>236</v>
      </c>
      <c r="L939" s="9">
        <v>2024</v>
      </c>
      <c r="M939" s="8" t="s">
        <v>6085</v>
      </c>
      <c r="N939" s="8" t="s">
        <v>41</v>
      </c>
      <c r="O939" s="8" t="s">
        <v>178</v>
      </c>
      <c r="P939" s="6" t="s">
        <v>43</v>
      </c>
      <c r="Q939" s="8" t="s">
        <v>44</v>
      </c>
      <c r="R939" s="10" t="s">
        <v>3647</v>
      </c>
      <c r="S939" s="11" t="s">
        <v>6086</v>
      </c>
      <c r="T939" s="6"/>
      <c r="U939" s="28" t="str">
        <f>HYPERLINK("https://media.infra-m.ru/2008/2008780/cover/2008780.jpg", "Обложка")</f>
        <v>Обложка</v>
      </c>
      <c r="V939" s="28" t="str">
        <f>HYPERLINK("https://znanium.ru/catalog/product/1865720", "Ознакомиться")</f>
        <v>Ознакомиться</v>
      </c>
      <c r="W939" s="8" t="s">
        <v>6081</v>
      </c>
      <c r="X939" s="6"/>
      <c r="Y939" s="6"/>
      <c r="Z939" s="6"/>
      <c r="AA939" s="6" t="s">
        <v>221</v>
      </c>
    </row>
    <row r="940" spans="1:27" s="4" customFormat="1" ht="51.95" customHeight="1">
      <c r="A940" s="5">
        <v>0</v>
      </c>
      <c r="B940" s="6" t="s">
        <v>6087</v>
      </c>
      <c r="C940" s="7">
        <v>1204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38</v>
      </c>
      <c r="I940" s="8" t="s">
        <v>39</v>
      </c>
      <c r="J940" s="9">
        <v>1</v>
      </c>
      <c r="K940" s="9">
        <v>256</v>
      </c>
      <c r="L940" s="9">
        <v>2024</v>
      </c>
      <c r="M940" s="8" t="s">
        <v>6091</v>
      </c>
      <c r="N940" s="8" t="s">
        <v>41</v>
      </c>
      <c r="O940" s="8" t="s">
        <v>178</v>
      </c>
      <c r="P940" s="6" t="s">
        <v>43</v>
      </c>
      <c r="Q940" s="8" t="s">
        <v>44</v>
      </c>
      <c r="R940" s="10" t="s">
        <v>6092</v>
      </c>
      <c r="S940" s="11" t="s">
        <v>6093</v>
      </c>
      <c r="T940" s="6"/>
      <c r="U940" s="28" t="str">
        <f>HYPERLINK("https://media.infra-m.ru/2084/2084324/cover/2084324.jpg", "Обложка")</f>
        <v>Обложка</v>
      </c>
      <c r="V940" s="28" t="str">
        <f>HYPERLINK("https://znanium.ru/catalog/product/2041697", "Ознакомиться")</f>
        <v>Ознакомиться</v>
      </c>
      <c r="W940" s="8" t="s">
        <v>6094</v>
      </c>
      <c r="X940" s="6"/>
      <c r="Y940" s="6"/>
      <c r="Z940" s="6" t="s">
        <v>48</v>
      </c>
      <c r="AA940" s="6" t="s">
        <v>656</v>
      </c>
    </row>
    <row r="941" spans="1:27" s="4" customFormat="1" ht="51.95" customHeight="1">
      <c r="A941" s="5">
        <v>0</v>
      </c>
      <c r="B941" s="6" t="s">
        <v>6095</v>
      </c>
      <c r="C941" s="7">
        <v>2194</v>
      </c>
      <c r="D941" s="8" t="s">
        <v>6096</v>
      </c>
      <c r="E941" s="8" t="s">
        <v>6097</v>
      </c>
      <c r="F941" s="8" t="s">
        <v>6098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533</v>
      </c>
      <c r="L941" s="9">
        <v>2024</v>
      </c>
      <c r="M941" s="8" t="s">
        <v>6099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6100</v>
      </c>
      <c r="S941" s="11" t="s">
        <v>6101</v>
      </c>
      <c r="T941" s="6"/>
      <c r="U941" s="28" t="str">
        <f>HYPERLINK("https://media.infra-m.ru/2098/2098047/cover/2098047.jpg", "Обложка")</f>
        <v>Обложка</v>
      </c>
      <c r="V941" s="28" t="str">
        <f>HYPERLINK("https://znanium.ru/catalog/product/2008781", "Ознакомиться")</f>
        <v>Ознакомиться</v>
      </c>
      <c r="W941" s="8" t="s">
        <v>1913</v>
      </c>
      <c r="X941" s="6"/>
      <c r="Y941" s="6"/>
      <c r="Z941" s="6" t="s">
        <v>48</v>
      </c>
      <c r="AA941" s="6" t="s">
        <v>122</v>
      </c>
    </row>
    <row r="942" spans="1:27" s="4" customFormat="1" ht="51.95" customHeight="1">
      <c r="A942" s="5">
        <v>0</v>
      </c>
      <c r="B942" s="6" t="s">
        <v>6102</v>
      </c>
      <c r="C942" s="7">
        <v>1050</v>
      </c>
      <c r="D942" s="8" t="s">
        <v>6103</v>
      </c>
      <c r="E942" s="8" t="s">
        <v>6104</v>
      </c>
      <c r="F942" s="8" t="s">
        <v>6105</v>
      </c>
      <c r="G942" s="6" t="s">
        <v>66</v>
      </c>
      <c r="H942" s="6" t="s">
        <v>38</v>
      </c>
      <c r="I942" s="8" t="s">
        <v>39</v>
      </c>
      <c r="J942" s="9">
        <v>1</v>
      </c>
      <c r="K942" s="9">
        <v>205</v>
      </c>
      <c r="L942" s="9">
        <v>2022</v>
      </c>
      <c r="M942" s="8" t="s">
        <v>6106</v>
      </c>
      <c r="N942" s="8" t="s">
        <v>68</v>
      </c>
      <c r="O942" s="8" t="s">
        <v>699</v>
      </c>
      <c r="P942" s="6" t="s">
        <v>70</v>
      </c>
      <c r="Q942" s="8" t="s">
        <v>44</v>
      </c>
      <c r="R942" s="10" t="s">
        <v>2149</v>
      </c>
      <c r="S942" s="11" t="s">
        <v>6107</v>
      </c>
      <c r="T942" s="6"/>
      <c r="U942" s="28" t="str">
        <f>HYPERLINK("https://media.infra-m.ru/1845/1845902/cover/1845902.jpg", "Обложка")</f>
        <v>Обложка</v>
      </c>
      <c r="V942" s="28" t="str">
        <f>HYPERLINK("https://znanium.ru/catalog/product/1845902", "Ознакомиться")</f>
        <v>Ознакомиться</v>
      </c>
      <c r="W942" s="8" t="s">
        <v>1906</v>
      </c>
      <c r="X942" s="6"/>
      <c r="Y942" s="6"/>
      <c r="Z942" s="6" t="s">
        <v>48</v>
      </c>
      <c r="AA942" s="6" t="s">
        <v>94</v>
      </c>
    </row>
    <row r="943" spans="1:27" s="4" customFormat="1" ht="51.95" customHeight="1">
      <c r="A943" s="5">
        <v>0</v>
      </c>
      <c r="B943" s="6" t="s">
        <v>6108</v>
      </c>
      <c r="C943" s="7">
        <v>1034</v>
      </c>
      <c r="D943" s="8" t="s">
        <v>6109</v>
      </c>
      <c r="E943" s="8" t="s">
        <v>6110</v>
      </c>
      <c r="F943" s="8" t="s">
        <v>6111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221</v>
      </c>
      <c r="L943" s="9">
        <v>2024</v>
      </c>
      <c r="M943" s="8" t="s">
        <v>6112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179</v>
      </c>
      <c r="S943" s="11" t="s">
        <v>6113</v>
      </c>
      <c r="T943" s="6"/>
      <c r="U943" s="28" t="str">
        <f>HYPERLINK("https://media.infra-m.ru/2139/2139216/cover/2139216.jpg", "Обложка")</f>
        <v>Обложка</v>
      </c>
      <c r="V943" s="28" t="str">
        <f>HYPERLINK("https://znanium.ru/catalog/product/1843204", "Ознакомиться")</f>
        <v>Ознакомиться</v>
      </c>
      <c r="W943" s="8" t="s">
        <v>181</v>
      </c>
      <c r="X943" s="6"/>
      <c r="Y943" s="6"/>
      <c r="Z943" s="6"/>
      <c r="AA943" s="6" t="s">
        <v>872</v>
      </c>
    </row>
    <row r="944" spans="1:27" s="4" customFormat="1" ht="51.95" customHeight="1">
      <c r="A944" s="5">
        <v>0</v>
      </c>
      <c r="B944" s="6" t="s">
        <v>6114</v>
      </c>
      <c r="C944" s="13">
        <v>914.9</v>
      </c>
      <c r="D944" s="8" t="s">
        <v>6115</v>
      </c>
      <c r="E944" s="8" t="s">
        <v>6116</v>
      </c>
      <c r="F944" s="8" t="s">
        <v>3839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204</v>
      </c>
      <c r="L944" s="9">
        <v>2023</v>
      </c>
      <c r="M944" s="8" t="s">
        <v>6117</v>
      </c>
      <c r="N944" s="8" t="s">
        <v>118</v>
      </c>
      <c r="O944" s="8" t="s">
        <v>403</v>
      </c>
      <c r="P944" s="6" t="s">
        <v>70</v>
      </c>
      <c r="Q944" s="8" t="s">
        <v>44</v>
      </c>
      <c r="R944" s="10" t="s">
        <v>437</v>
      </c>
      <c r="S944" s="11" t="s">
        <v>6118</v>
      </c>
      <c r="T944" s="6"/>
      <c r="U944" s="28" t="str">
        <f>HYPERLINK("https://media.infra-m.ru/1976/1976141/cover/1976141.jpg", "Обложка")</f>
        <v>Обложка</v>
      </c>
      <c r="V944" s="28" t="str">
        <f>HYPERLINK("https://znanium.ru/catalog/product/1020430", "Ознакомиться")</f>
        <v>Ознакомиться</v>
      </c>
      <c r="W944" s="8" t="s">
        <v>3842</v>
      </c>
      <c r="X944" s="6"/>
      <c r="Y944" s="6"/>
      <c r="Z944" s="6"/>
      <c r="AA944" s="6" t="s">
        <v>656</v>
      </c>
    </row>
    <row r="945" spans="1:27" s="4" customFormat="1" ht="51.95" customHeight="1">
      <c r="A945" s="5">
        <v>0</v>
      </c>
      <c r="B945" s="6" t="s">
        <v>6119</v>
      </c>
      <c r="C945" s="7">
        <v>1500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318</v>
      </c>
      <c r="L945" s="9">
        <v>2024</v>
      </c>
      <c r="M945" s="8" t="s">
        <v>6123</v>
      </c>
      <c r="N945" s="8" t="s">
        <v>41</v>
      </c>
      <c r="O945" s="8" t="s">
        <v>514</v>
      </c>
      <c r="P945" s="6" t="s">
        <v>43</v>
      </c>
      <c r="Q945" s="8" t="s">
        <v>44</v>
      </c>
      <c r="R945" s="10" t="s">
        <v>3801</v>
      </c>
      <c r="S945" s="11" t="s">
        <v>6124</v>
      </c>
      <c r="T945" s="6"/>
      <c r="U945" s="28" t="str">
        <f>HYPERLINK("https://media.infra-m.ru/2152/2152197/cover/2152197.jpg", "Обложка")</f>
        <v>Обложка</v>
      </c>
      <c r="V945" s="28" t="str">
        <f>HYPERLINK("https://znanium.ru/catalog/product/2152197", "Ознакомиться")</f>
        <v>Ознакомиться</v>
      </c>
      <c r="W945" s="8" t="s">
        <v>2727</v>
      </c>
      <c r="X945" s="6"/>
      <c r="Y945" s="6"/>
      <c r="Z945" s="6"/>
      <c r="AA945" s="6" t="s">
        <v>314</v>
      </c>
    </row>
    <row r="946" spans="1:27" s="4" customFormat="1" ht="51.95" customHeight="1">
      <c r="A946" s="5">
        <v>0</v>
      </c>
      <c r="B946" s="6" t="s">
        <v>6125</v>
      </c>
      <c r="C946" s="7">
        <v>1090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38</v>
      </c>
      <c r="I946" s="8" t="s">
        <v>39</v>
      </c>
      <c r="J946" s="9">
        <v>1</v>
      </c>
      <c r="K946" s="9">
        <v>352</v>
      </c>
      <c r="L946" s="9">
        <v>2018</v>
      </c>
      <c r="M946" s="8" t="s">
        <v>6129</v>
      </c>
      <c r="N946" s="8" t="s">
        <v>41</v>
      </c>
      <c r="O946" s="8" t="s">
        <v>514</v>
      </c>
      <c r="P946" s="6" t="s">
        <v>43</v>
      </c>
      <c r="Q946" s="8" t="s">
        <v>44</v>
      </c>
      <c r="R946" s="10" t="s">
        <v>3801</v>
      </c>
      <c r="S946" s="11" t="s">
        <v>6130</v>
      </c>
      <c r="T946" s="6"/>
      <c r="U946" s="28" t="str">
        <f>HYPERLINK("https://media.infra-m.ru/0915/0915568/cover/915568.jpg", "Обложка")</f>
        <v>Обложка</v>
      </c>
      <c r="V946" s="28" t="str">
        <f>HYPERLINK("https://znanium.ru/catalog/product/2152197", "Ознакомиться")</f>
        <v>Ознакомиться</v>
      </c>
      <c r="W946" s="8" t="s">
        <v>2727</v>
      </c>
      <c r="X946" s="6"/>
      <c r="Y946" s="6"/>
      <c r="Z946" s="6"/>
      <c r="AA946" s="6" t="s">
        <v>2858</v>
      </c>
    </row>
    <row r="947" spans="1:27" s="4" customFormat="1" ht="51.95" customHeight="1">
      <c r="A947" s="5">
        <v>0</v>
      </c>
      <c r="B947" s="6" t="s">
        <v>6131</v>
      </c>
      <c r="C947" s="7">
        <v>2690</v>
      </c>
      <c r="D947" s="8" t="s">
        <v>6132</v>
      </c>
      <c r="E947" s="8" t="s">
        <v>6133</v>
      </c>
      <c r="F947" s="8" t="s">
        <v>6134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573</v>
      </c>
      <c r="L947" s="9">
        <v>2024</v>
      </c>
      <c r="M947" s="8" t="s">
        <v>6135</v>
      </c>
      <c r="N947" s="8" t="s">
        <v>118</v>
      </c>
      <c r="O947" s="8" t="s">
        <v>1232</v>
      </c>
      <c r="P947" s="6" t="s">
        <v>70</v>
      </c>
      <c r="Q947" s="8" t="s">
        <v>44</v>
      </c>
      <c r="R947" s="10" t="s">
        <v>2565</v>
      </c>
      <c r="S947" s="11" t="s">
        <v>6136</v>
      </c>
      <c r="T947" s="6"/>
      <c r="U947" s="28" t="str">
        <f>HYPERLINK("https://media.infra-m.ru/2113/2113798/cover/2113798.jpg", "Обложка")</f>
        <v>Обложка</v>
      </c>
      <c r="V947" s="28" t="str">
        <f>HYPERLINK("https://znanium.ru/catalog/product/2113798", "Ознакомиться")</f>
        <v>Ознакомиться</v>
      </c>
      <c r="W947" s="8" t="s">
        <v>5034</v>
      </c>
      <c r="X947" s="6"/>
      <c r="Y947" s="6"/>
      <c r="Z947" s="6" t="s">
        <v>821</v>
      </c>
      <c r="AA947" s="6" t="s">
        <v>475</v>
      </c>
    </row>
    <row r="948" spans="1:27" s="4" customFormat="1" ht="51.95" customHeight="1">
      <c r="A948" s="5">
        <v>0</v>
      </c>
      <c r="B948" s="6" t="s">
        <v>6137</v>
      </c>
      <c r="C948" s="7">
        <v>2334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508</v>
      </c>
      <c r="L948" s="9">
        <v>2024</v>
      </c>
      <c r="M948" s="8" t="s">
        <v>6141</v>
      </c>
      <c r="N948" s="8" t="s">
        <v>1171</v>
      </c>
      <c r="O948" s="8" t="s">
        <v>1172</v>
      </c>
      <c r="P948" s="6" t="s">
        <v>43</v>
      </c>
      <c r="Q948" s="8" t="s">
        <v>44</v>
      </c>
      <c r="R948" s="10" t="s">
        <v>6142</v>
      </c>
      <c r="S948" s="11" t="s">
        <v>6143</v>
      </c>
      <c r="T948" s="6"/>
      <c r="U948" s="28" t="str">
        <f>HYPERLINK("https://media.infra-m.ru/2100/2100006/cover/2100006.jpg", "Обложка")</f>
        <v>Обложка</v>
      </c>
      <c r="V948" s="28" t="str">
        <f>HYPERLINK("https://znanium.ru/catalog/product/2100005", "Ознакомиться")</f>
        <v>Ознакомиться</v>
      </c>
      <c r="W948" s="8" t="s">
        <v>1387</v>
      </c>
      <c r="X948" s="6"/>
      <c r="Y948" s="6"/>
      <c r="Z948" s="6" t="s">
        <v>48</v>
      </c>
      <c r="AA948" s="6" t="s">
        <v>61</v>
      </c>
    </row>
    <row r="949" spans="1:27" s="4" customFormat="1" ht="51.95" customHeight="1">
      <c r="A949" s="5">
        <v>0</v>
      </c>
      <c r="B949" s="6" t="s">
        <v>6144</v>
      </c>
      <c r="C949" s="13">
        <v>884</v>
      </c>
      <c r="D949" s="8" t="s">
        <v>6145</v>
      </c>
      <c r="E949" s="8" t="s">
        <v>6146</v>
      </c>
      <c r="F949" s="8" t="s">
        <v>6147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192</v>
      </c>
      <c r="L949" s="9">
        <v>2024</v>
      </c>
      <c r="M949" s="8" t="s">
        <v>6148</v>
      </c>
      <c r="N949" s="8" t="s">
        <v>41</v>
      </c>
      <c r="O949" s="8" t="s">
        <v>209</v>
      </c>
      <c r="P949" s="6" t="s">
        <v>43</v>
      </c>
      <c r="Q949" s="8" t="s">
        <v>44</v>
      </c>
      <c r="R949" s="10" t="s">
        <v>6149</v>
      </c>
      <c r="S949" s="11" t="s">
        <v>973</v>
      </c>
      <c r="T949" s="6"/>
      <c r="U949" s="28" t="str">
        <f>HYPERLINK("https://media.infra-m.ru/2079/2079243/cover/2079243.jpg", "Обложка")</f>
        <v>Обложка</v>
      </c>
      <c r="V949" s="28" t="str">
        <f>HYPERLINK("https://znanium.ru/catalog/product/1226469", "Ознакомиться")</f>
        <v>Ознакомиться</v>
      </c>
      <c r="W949" s="8" t="s">
        <v>261</v>
      </c>
      <c r="X949" s="6"/>
      <c r="Y949" s="6"/>
      <c r="Z949" s="6"/>
      <c r="AA949" s="6" t="s">
        <v>164</v>
      </c>
    </row>
    <row r="950" spans="1:27" s="4" customFormat="1" ht="51.95" customHeight="1">
      <c r="A950" s="5">
        <v>0</v>
      </c>
      <c r="B950" s="6" t="s">
        <v>6150</v>
      </c>
      <c r="C950" s="7">
        <v>1460</v>
      </c>
      <c r="D950" s="8" t="s">
        <v>6151</v>
      </c>
      <c r="E950" s="8" t="s">
        <v>6152</v>
      </c>
      <c r="F950" s="8" t="s">
        <v>5623</v>
      </c>
      <c r="G950" s="6" t="s">
        <v>66</v>
      </c>
      <c r="H950" s="6" t="s">
        <v>283</v>
      </c>
      <c r="I950" s="8" t="s">
        <v>39</v>
      </c>
      <c r="J950" s="9">
        <v>1</v>
      </c>
      <c r="K950" s="9">
        <v>317</v>
      </c>
      <c r="L950" s="9">
        <v>2024</v>
      </c>
      <c r="M950" s="8" t="s">
        <v>6153</v>
      </c>
      <c r="N950" s="8" t="s">
        <v>41</v>
      </c>
      <c r="O950" s="8" t="s">
        <v>160</v>
      </c>
      <c r="P950" s="6" t="s">
        <v>70</v>
      </c>
      <c r="Q950" s="8" t="s">
        <v>44</v>
      </c>
      <c r="R950" s="10" t="s">
        <v>6154</v>
      </c>
      <c r="S950" s="11" t="s">
        <v>6155</v>
      </c>
      <c r="T950" s="6"/>
      <c r="U950" s="28" t="str">
        <f>HYPERLINK("https://media.infra-m.ru/2087/2087738/cover/2087738.jpg", "Обложка")</f>
        <v>Обложка</v>
      </c>
      <c r="V950" s="28" t="str">
        <f>HYPERLINK("https://znanium.ru/catalog/product/2087738", "Ознакомиться")</f>
        <v>Ознакомиться</v>
      </c>
      <c r="W950" s="8" t="s">
        <v>1707</v>
      </c>
      <c r="X950" s="6"/>
      <c r="Y950" s="6" t="s">
        <v>30</v>
      </c>
      <c r="Z950" s="6"/>
      <c r="AA950" s="6" t="s">
        <v>3123</v>
      </c>
    </row>
    <row r="951" spans="1:27" s="4" customFormat="1" ht="51.95" customHeight="1">
      <c r="A951" s="5">
        <v>0</v>
      </c>
      <c r="B951" s="6" t="s">
        <v>6156</v>
      </c>
      <c r="C951" s="7">
        <v>1654</v>
      </c>
      <c r="D951" s="8" t="s">
        <v>6157</v>
      </c>
      <c r="E951" s="8" t="s">
        <v>6158</v>
      </c>
      <c r="F951" s="8" t="s">
        <v>6159</v>
      </c>
      <c r="G951" s="6" t="s">
        <v>37</v>
      </c>
      <c r="H951" s="6" t="s">
        <v>283</v>
      </c>
      <c r="I951" s="8" t="s">
        <v>56</v>
      </c>
      <c r="J951" s="9">
        <v>1</v>
      </c>
      <c r="K951" s="9">
        <v>352</v>
      </c>
      <c r="L951" s="9">
        <v>2024</v>
      </c>
      <c r="M951" s="8" t="s">
        <v>6160</v>
      </c>
      <c r="N951" s="8" t="s">
        <v>118</v>
      </c>
      <c r="O951" s="8" t="s">
        <v>403</v>
      </c>
      <c r="P951" s="6" t="s">
        <v>43</v>
      </c>
      <c r="Q951" s="8" t="s">
        <v>44</v>
      </c>
      <c r="R951" s="10" t="s">
        <v>768</v>
      </c>
      <c r="S951" s="11" t="s">
        <v>6161</v>
      </c>
      <c r="T951" s="6"/>
      <c r="U951" s="28" t="str">
        <f>HYPERLINK("https://media.infra-m.ru/2145/2145081/cover/2145081.jpg", "Обложка")</f>
        <v>Обложка</v>
      </c>
      <c r="V951" s="28" t="str">
        <f>HYPERLINK("https://znanium.ru/catalog/product/1815605", "Ознакомиться")</f>
        <v>Ознакомиться</v>
      </c>
      <c r="W951" s="8" t="s">
        <v>163</v>
      </c>
      <c r="X951" s="6"/>
      <c r="Y951" s="6"/>
      <c r="Z951" s="6"/>
      <c r="AA951" s="6" t="s">
        <v>221</v>
      </c>
    </row>
    <row r="952" spans="1:27" s="4" customFormat="1" ht="51.95" customHeight="1">
      <c r="A952" s="5">
        <v>0</v>
      </c>
      <c r="B952" s="6" t="s">
        <v>6162</v>
      </c>
      <c r="C952" s="7">
        <v>1764</v>
      </c>
      <c r="D952" s="8" t="s">
        <v>6163</v>
      </c>
      <c r="E952" s="8" t="s">
        <v>6164</v>
      </c>
      <c r="F952" s="8" t="s">
        <v>6165</v>
      </c>
      <c r="G952" s="6" t="s">
        <v>37</v>
      </c>
      <c r="H952" s="6" t="s">
        <v>866</v>
      </c>
      <c r="I952" s="8"/>
      <c r="J952" s="9">
        <v>1</v>
      </c>
      <c r="K952" s="9">
        <v>384</v>
      </c>
      <c r="L952" s="9">
        <v>2024</v>
      </c>
      <c r="M952" s="8" t="s">
        <v>6166</v>
      </c>
      <c r="N952" s="8" t="s">
        <v>118</v>
      </c>
      <c r="O952" s="8" t="s">
        <v>403</v>
      </c>
      <c r="P952" s="6" t="s">
        <v>70</v>
      </c>
      <c r="Q952" s="8" t="s">
        <v>44</v>
      </c>
      <c r="R952" s="10" t="s">
        <v>1096</v>
      </c>
      <c r="S952" s="11" t="s">
        <v>6167</v>
      </c>
      <c r="T952" s="6"/>
      <c r="U952" s="28" t="str">
        <f>HYPERLINK("https://media.infra-m.ru/2053/2053200/cover/2053200.jpg", "Обложка")</f>
        <v>Обложка</v>
      </c>
      <c r="V952" s="28" t="str">
        <f>HYPERLINK("https://znanium.ru/catalog/product/1052227", "Ознакомиться")</f>
        <v>Ознакомиться</v>
      </c>
      <c r="W952" s="8" t="s">
        <v>3460</v>
      </c>
      <c r="X952" s="6"/>
      <c r="Y952" s="6"/>
      <c r="Z952" s="6"/>
      <c r="AA952" s="6" t="s">
        <v>297</v>
      </c>
    </row>
    <row r="953" spans="1:27" s="4" customFormat="1" ht="51.95" customHeight="1">
      <c r="A953" s="5">
        <v>0</v>
      </c>
      <c r="B953" s="6" t="s">
        <v>6168</v>
      </c>
      <c r="C953" s="7">
        <v>1160</v>
      </c>
      <c r="D953" s="8" t="s">
        <v>6169</v>
      </c>
      <c r="E953" s="8" t="s">
        <v>6170</v>
      </c>
      <c r="F953" s="8" t="s">
        <v>6171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250</v>
      </c>
      <c r="L953" s="9">
        <v>2024</v>
      </c>
      <c r="M953" s="8" t="s">
        <v>6172</v>
      </c>
      <c r="N953" s="8" t="s">
        <v>504</v>
      </c>
      <c r="O953" s="8" t="s">
        <v>746</v>
      </c>
      <c r="P953" s="6" t="s">
        <v>70</v>
      </c>
      <c r="Q953" s="8" t="s">
        <v>44</v>
      </c>
      <c r="R953" s="10" t="s">
        <v>5830</v>
      </c>
      <c r="S953" s="11" t="s">
        <v>6173</v>
      </c>
      <c r="T953" s="6"/>
      <c r="U953" s="28" t="str">
        <f>HYPERLINK("https://media.infra-m.ru/2078/2078388/cover/2078388.jpg", "Обложка")</f>
        <v>Обложка</v>
      </c>
      <c r="V953" s="28" t="str">
        <f>HYPERLINK("https://znanium.ru/catalog/product/2078388", "Ознакомиться")</f>
        <v>Ознакомиться</v>
      </c>
      <c r="W953" s="8" t="s">
        <v>172</v>
      </c>
      <c r="X953" s="6"/>
      <c r="Y953" s="6"/>
      <c r="Z953" s="6" t="s">
        <v>48</v>
      </c>
      <c r="AA953" s="6" t="s">
        <v>656</v>
      </c>
    </row>
    <row r="954" spans="1:27" s="4" customFormat="1" ht="51.95" customHeight="1">
      <c r="A954" s="5">
        <v>0</v>
      </c>
      <c r="B954" s="6" t="s">
        <v>6174</v>
      </c>
      <c r="C954" s="13">
        <v>990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79</v>
      </c>
      <c r="I954" s="8" t="s">
        <v>39</v>
      </c>
      <c r="J954" s="9">
        <v>1</v>
      </c>
      <c r="K954" s="9">
        <v>289</v>
      </c>
      <c r="L954" s="9">
        <v>2020</v>
      </c>
      <c r="M954" s="8" t="s">
        <v>6178</v>
      </c>
      <c r="N954" s="8" t="s">
        <v>504</v>
      </c>
      <c r="O954" s="8" t="s">
        <v>746</v>
      </c>
      <c r="P954" s="6" t="s">
        <v>43</v>
      </c>
      <c r="Q954" s="8" t="s">
        <v>44</v>
      </c>
      <c r="R954" s="10" t="s">
        <v>6179</v>
      </c>
      <c r="S954" s="11" t="s">
        <v>3493</v>
      </c>
      <c r="T954" s="6"/>
      <c r="U954" s="28" t="str">
        <f>HYPERLINK("https://media.infra-m.ru/1047/1047921/cover/1047921.jpg", "Обложка")</f>
        <v>Обложка</v>
      </c>
      <c r="V954" s="28" t="str">
        <f>HYPERLINK("https://znanium.ru/catalog/product/1047921", "Ознакомиться")</f>
        <v>Ознакомиться</v>
      </c>
      <c r="W954" s="8" t="s">
        <v>60</v>
      </c>
      <c r="X954" s="6"/>
      <c r="Y954" s="6"/>
      <c r="Z954" s="6" t="s">
        <v>48</v>
      </c>
      <c r="AA954" s="6" t="s">
        <v>414</v>
      </c>
    </row>
    <row r="955" spans="1:27" s="4" customFormat="1" ht="51.95" customHeight="1">
      <c r="A955" s="5">
        <v>0</v>
      </c>
      <c r="B955" s="6" t="s">
        <v>6180</v>
      </c>
      <c r="C955" s="7">
        <v>1230</v>
      </c>
      <c r="D955" s="8" t="s">
        <v>6181</v>
      </c>
      <c r="E955" s="8" t="s">
        <v>6182</v>
      </c>
      <c r="F955" s="8" t="s">
        <v>2314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272</v>
      </c>
      <c r="L955" s="9">
        <v>2023</v>
      </c>
      <c r="M955" s="8" t="s">
        <v>6183</v>
      </c>
      <c r="N955" s="8" t="s">
        <v>118</v>
      </c>
      <c r="O955" s="8" t="s">
        <v>336</v>
      </c>
      <c r="P955" s="6" t="s">
        <v>70</v>
      </c>
      <c r="Q955" s="8" t="s">
        <v>44</v>
      </c>
      <c r="R955" s="10" t="s">
        <v>91</v>
      </c>
      <c r="S955" s="11" t="s">
        <v>5709</v>
      </c>
      <c r="T955" s="6"/>
      <c r="U955" s="28" t="str">
        <f>HYPERLINK("https://media.infra-m.ru/1932/1932342/cover/1932342.jpg", "Обложка")</f>
        <v>Обложка</v>
      </c>
      <c r="V955" s="28" t="str">
        <f>HYPERLINK("https://znanium.ru/catalog/product/1932342", "Ознакомиться")</f>
        <v>Ознакомиться</v>
      </c>
      <c r="W955" s="8" t="s">
        <v>2277</v>
      </c>
      <c r="X955" s="6"/>
      <c r="Y955" s="6"/>
      <c r="Z955" s="6" t="s">
        <v>48</v>
      </c>
      <c r="AA955" s="6" t="s">
        <v>122</v>
      </c>
    </row>
    <row r="956" spans="1:27" s="4" customFormat="1" ht="42" customHeight="1">
      <c r="A956" s="5">
        <v>0</v>
      </c>
      <c r="B956" s="6" t="s">
        <v>6184</v>
      </c>
      <c r="C956" s="7">
        <v>1790</v>
      </c>
      <c r="D956" s="8" t="s">
        <v>6185</v>
      </c>
      <c r="E956" s="8" t="s">
        <v>6182</v>
      </c>
      <c r="F956" s="8" t="s">
        <v>6186</v>
      </c>
      <c r="G956" s="6" t="s">
        <v>37</v>
      </c>
      <c r="H956" s="6" t="s">
        <v>344</v>
      </c>
      <c r="I956" s="8" t="s">
        <v>1509</v>
      </c>
      <c r="J956" s="9">
        <v>1</v>
      </c>
      <c r="K956" s="9">
        <v>432</v>
      </c>
      <c r="L956" s="9">
        <v>2024</v>
      </c>
      <c r="M956" s="8" t="s">
        <v>6187</v>
      </c>
      <c r="N956" s="8" t="s">
        <v>118</v>
      </c>
      <c r="O956" s="8" t="s">
        <v>336</v>
      </c>
      <c r="P956" s="6" t="s">
        <v>70</v>
      </c>
      <c r="Q956" s="8" t="s">
        <v>44</v>
      </c>
      <c r="R956" s="10" t="s">
        <v>91</v>
      </c>
      <c r="S956" s="11"/>
      <c r="T956" s="6"/>
      <c r="U956" s="28" t="str">
        <f>HYPERLINK("https://media.infra-m.ru/2084/2084418/cover/2084418.jpg", "Обложка")</f>
        <v>Обложка</v>
      </c>
      <c r="V956" s="28" t="str">
        <f>HYPERLINK("https://znanium.ru/catalog/product/2084418", "Ознакомиться")</f>
        <v>Ознакомиться</v>
      </c>
      <c r="W956" s="8" t="s">
        <v>6188</v>
      </c>
      <c r="X956" s="6"/>
      <c r="Y956" s="6"/>
      <c r="Z956" s="6"/>
      <c r="AA956" s="6" t="s">
        <v>103</v>
      </c>
    </row>
    <row r="957" spans="1:27" s="4" customFormat="1" ht="42" customHeight="1">
      <c r="A957" s="5">
        <v>0</v>
      </c>
      <c r="B957" s="6" t="s">
        <v>6189</v>
      </c>
      <c r="C957" s="7">
        <v>1690</v>
      </c>
      <c r="D957" s="8" t="s">
        <v>6190</v>
      </c>
      <c r="E957" s="8" t="s">
        <v>6182</v>
      </c>
      <c r="F957" s="8" t="s">
        <v>6191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343</v>
      </c>
      <c r="L957" s="9">
        <v>2024</v>
      </c>
      <c r="M957" s="8" t="s">
        <v>6192</v>
      </c>
      <c r="N957" s="8" t="s">
        <v>118</v>
      </c>
      <c r="O957" s="8" t="s">
        <v>336</v>
      </c>
      <c r="P957" s="6" t="s">
        <v>43</v>
      </c>
      <c r="Q957" s="8" t="s">
        <v>44</v>
      </c>
      <c r="R957" s="10" t="s">
        <v>346</v>
      </c>
      <c r="S957" s="11"/>
      <c r="T957" s="6"/>
      <c r="U957" s="28" t="str">
        <f>HYPERLINK("https://media.infra-m.ru/1865/1865712/cover/1865712.jpg", "Обложка")</f>
        <v>Обложка</v>
      </c>
      <c r="V957" s="28" t="str">
        <f>HYPERLINK("https://znanium.ru/catalog/product/1865712", "Ознакомиться")</f>
        <v>Ознакомиться</v>
      </c>
      <c r="W957" s="8" t="s">
        <v>330</v>
      </c>
      <c r="X957" s="6" t="s">
        <v>542</v>
      </c>
      <c r="Y957" s="6"/>
      <c r="Z957" s="6"/>
      <c r="AA957" s="6" t="s">
        <v>339</v>
      </c>
    </row>
    <row r="958" spans="1:27" s="4" customFormat="1" ht="51.95" customHeight="1">
      <c r="A958" s="5">
        <v>0</v>
      </c>
      <c r="B958" s="6" t="s">
        <v>6193</v>
      </c>
      <c r="C958" s="7">
        <v>1090</v>
      </c>
      <c r="D958" s="8" t="s">
        <v>6194</v>
      </c>
      <c r="E958" s="8" t="s">
        <v>6195</v>
      </c>
      <c r="F958" s="8" t="s">
        <v>6196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236</v>
      </c>
      <c r="L958" s="9">
        <v>2024</v>
      </c>
      <c r="M958" s="8" t="s">
        <v>6197</v>
      </c>
      <c r="N958" s="8" t="s">
        <v>1171</v>
      </c>
      <c r="O958" s="8" t="s">
        <v>1172</v>
      </c>
      <c r="P958" s="6" t="s">
        <v>70</v>
      </c>
      <c r="Q958" s="8" t="s">
        <v>44</v>
      </c>
      <c r="R958" s="10" t="s">
        <v>3226</v>
      </c>
      <c r="S958" s="11" t="s">
        <v>6198</v>
      </c>
      <c r="T958" s="6"/>
      <c r="U958" s="28" t="str">
        <f>HYPERLINK("https://media.infra-m.ru/2089/2089371/cover/2089371.jpg", "Обложка")</f>
        <v>Обложка</v>
      </c>
      <c r="V958" s="28" t="str">
        <f>HYPERLINK("https://znanium.ru/catalog/product/2089371", "Ознакомиться")</f>
        <v>Ознакомиться</v>
      </c>
      <c r="W958" s="8" t="s">
        <v>1387</v>
      </c>
      <c r="X958" s="6"/>
      <c r="Y958" s="6"/>
      <c r="Z958" s="6" t="s">
        <v>48</v>
      </c>
      <c r="AA958" s="6" t="s">
        <v>656</v>
      </c>
    </row>
    <row r="959" spans="1:27" s="4" customFormat="1" ht="42" customHeight="1">
      <c r="A959" s="5">
        <v>0</v>
      </c>
      <c r="B959" s="6" t="s">
        <v>6199</v>
      </c>
      <c r="C959" s="7">
        <v>1130</v>
      </c>
      <c r="D959" s="8" t="s">
        <v>6200</v>
      </c>
      <c r="E959" s="8" t="s">
        <v>6201</v>
      </c>
      <c r="F959" s="8" t="s">
        <v>6202</v>
      </c>
      <c r="G959" s="6" t="s">
        <v>37</v>
      </c>
      <c r="H959" s="6" t="s">
        <v>79</v>
      </c>
      <c r="I959" s="8" t="s">
        <v>39</v>
      </c>
      <c r="J959" s="9">
        <v>1</v>
      </c>
      <c r="K959" s="9">
        <v>242</v>
      </c>
      <c r="L959" s="9">
        <v>2024</v>
      </c>
      <c r="M959" s="8" t="s">
        <v>6203</v>
      </c>
      <c r="N959" s="8" t="s">
        <v>1171</v>
      </c>
      <c r="O959" s="8" t="s">
        <v>1172</v>
      </c>
      <c r="P959" s="6" t="s">
        <v>43</v>
      </c>
      <c r="Q959" s="8" t="s">
        <v>44</v>
      </c>
      <c r="R959" s="10" t="s">
        <v>1737</v>
      </c>
      <c r="S959" s="11"/>
      <c r="T959" s="6"/>
      <c r="U959" s="28" t="str">
        <f>HYPERLINK("https://media.infra-m.ru/1896/1896112/cover/1896112.jpg", "Обложка")</f>
        <v>Обложка</v>
      </c>
      <c r="V959" s="28" t="str">
        <f>HYPERLINK("https://znanium.ru/catalog/product/1896112", "Ознакомиться")</f>
        <v>Ознакомиться</v>
      </c>
      <c r="W959" s="8" t="s">
        <v>5926</v>
      </c>
      <c r="X959" s="6" t="s">
        <v>635</v>
      </c>
      <c r="Y959" s="6"/>
      <c r="Z959" s="6"/>
      <c r="AA959" s="6" t="s">
        <v>339</v>
      </c>
    </row>
    <row r="960" spans="1:27" s="4" customFormat="1" ht="51.95" customHeight="1">
      <c r="A960" s="5">
        <v>0</v>
      </c>
      <c r="B960" s="6" t="s">
        <v>6204</v>
      </c>
      <c r="C960" s="7">
        <v>1010</v>
      </c>
      <c r="D960" s="8" t="s">
        <v>6205</v>
      </c>
      <c r="E960" s="8" t="s">
        <v>6206</v>
      </c>
      <c r="F960" s="8" t="s">
        <v>6207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214</v>
      </c>
      <c r="L960" s="9">
        <v>2024</v>
      </c>
      <c r="M960" s="8" t="s">
        <v>6208</v>
      </c>
      <c r="N960" s="8" t="s">
        <v>41</v>
      </c>
      <c r="O960" s="8" t="s">
        <v>514</v>
      </c>
      <c r="P960" s="6" t="s">
        <v>70</v>
      </c>
      <c r="Q960" s="8" t="s">
        <v>44</v>
      </c>
      <c r="R960" s="10" t="s">
        <v>6209</v>
      </c>
      <c r="S960" s="11" t="s">
        <v>6210</v>
      </c>
      <c r="T960" s="6" t="s">
        <v>110</v>
      </c>
      <c r="U960" s="28" t="str">
        <f>HYPERLINK("https://media.infra-m.ru/2063/2063431/cover/2063431.jpg", "Обложка")</f>
        <v>Обложка</v>
      </c>
      <c r="V960" s="28" t="str">
        <f>HYPERLINK("https://znanium.ru/catalog/product/2063431", "Ознакомиться")</f>
        <v>Ознакомиться</v>
      </c>
      <c r="W960" s="8" t="s">
        <v>6211</v>
      </c>
      <c r="X960" s="6"/>
      <c r="Y960" s="6"/>
      <c r="Z960" s="6" t="s">
        <v>48</v>
      </c>
      <c r="AA960" s="6" t="s">
        <v>524</v>
      </c>
    </row>
    <row r="961" spans="1:27" s="4" customFormat="1" ht="51.95" customHeight="1">
      <c r="A961" s="5">
        <v>0</v>
      </c>
      <c r="B961" s="6" t="s">
        <v>6212</v>
      </c>
      <c r="C961" s="13">
        <v>860</v>
      </c>
      <c r="D961" s="8" t="s">
        <v>6213</v>
      </c>
      <c r="E961" s="8" t="s">
        <v>6214</v>
      </c>
      <c r="F961" s="8" t="s">
        <v>6215</v>
      </c>
      <c r="G961" s="6" t="s">
        <v>37</v>
      </c>
      <c r="H961" s="6" t="s">
        <v>79</v>
      </c>
      <c r="I961" s="8" t="s">
        <v>39</v>
      </c>
      <c r="J961" s="9">
        <v>1</v>
      </c>
      <c r="K961" s="9">
        <v>181</v>
      </c>
      <c r="L961" s="9">
        <v>2024</v>
      </c>
      <c r="M961" s="8" t="s">
        <v>6216</v>
      </c>
      <c r="N961" s="8" t="s">
        <v>504</v>
      </c>
      <c r="O961" s="8" t="s">
        <v>746</v>
      </c>
      <c r="P961" s="6" t="s">
        <v>43</v>
      </c>
      <c r="Q961" s="8" t="s">
        <v>44</v>
      </c>
      <c r="R961" s="10" t="s">
        <v>6217</v>
      </c>
      <c r="S961" s="11"/>
      <c r="T961" s="6"/>
      <c r="U961" s="28" t="str">
        <f>HYPERLINK("https://media.infra-m.ru/2081/2081023/cover/2081023.jpg", "Обложка")</f>
        <v>Обложка</v>
      </c>
      <c r="V961" s="28" t="str">
        <f>HYPERLINK("https://znanium.ru/catalog/product/2081023", "Ознакомиться")</f>
        <v>Ознакомиться</v>
      </c>
      <c r="W961" s="8" t="s">
        <v>6218</v>
      </c>
      <c r="X961" s="6" t="s">
        <v>84</v>
      </c>
      <c r="Y961" s="6"/>
      <c r="Z961" s="6" t="s">
        <v>48</v>
      </c>
      <c r="AA961" s="6" t="s">
        <v>339</v>
      </c>
    </row>
    <row r="962" spans="1:27" s="4" customFormat="1" ht="51.95" customHeight="1">
      <c r="A962" s="5">
        <v>0</v>
      </c>
      <c r="B962" s="6" t="s">
        <v>6219</v>
      </c>
      <c r="C962" s="7">
        <v>1230</v>
      </c>
      <c r="D962" s="8" t="s">
        <v>6220</v>
      </c>
      <c r="E962" s="8" t="s">
        <v>6221</v>
      </c>
      <c r="F962" s="8" t="s">
        <v>6222</v>
      </c>
      <c r="G962" s="6" t="s">
        <v>66</v>
      </c>
      <c r="H962" s="6" t="s">
        <v>2483</v>
      </c>
      <c r="I962" s="8" t="s">
        <v>39</v>
      </c>
      <c r="J962" s="9">
        <v>1</v>
      </c>
      <c r="K962" s="9">
        <v>266</v>
      </c>
      <c r="L962" s="9">
        <v>2024</v>
      </c>
      <c r="M962" s="8" t="s">
        <v>6223</v>
      </c>
      <c r="N962" s="8" t="s">
        <v>41</v>
      </c>
      <c r="O962" s="8" t="s">
        <v>178</v>
      </c>
      <c r="P962" s="6" t="s">
        <v>70</v>
      </c>
      <c r="Q962" s="8" t="s">
        <v>44</v>
      </c>
      <c r="R962" s="10" t="s">
        <v>6224</v>
      </c>
      <c r="S962" s="11" t="s">
        <v>6225</v>
      </c>
      <c r="T962" s="6"/>
      <c r="U962" s="28" t="str">
        <f>HYPERLINK("https://media.infra-m.ru/2099/2099967/cover/2099967.jpg", "Обложка")</f>
        <v>Обложка</v>
      </c>
      <c r="V962" s="28" t="str">
        <f>HYPERLINK("https://znanium.ru/catalog/product/2099967", "Ознакомиться")</f>
        <v>Ознакомиться</v>
      </c>
      <c r="W962" s="8" t="s">
        <v>181</v>
      </c>
      <c r="X962" s="6"/>
      <c r="Y962" s="6"/>
      <c r="Z962" s="6"/>
      <c r="AA962" s="6" t="s">
        <v>702</v>
      </c>
    </row>
    <row r="963" spans="1:27" s="4" customFormat="1" ht="51.95" customHeight="1">
      <c r="A963" s="5">
        <v>0</v>
      </c>
      <c r="B963" s="6" t="s">
        <v>6226</v>
      </c>
      <c r="C963" s="7">
        <v>1390</v>
      </c>
      <c r="D963" s="8" t="s">
        <v>6227</v>
      </c>
      <c r="E963" s="8" t="s">
        <v>6228</v>
      </c>
      <c r="F963" s="8" t="s">
        <v>6229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295</v>
      </c>
      <c r="L963" s="9">
        <v>2024</v>
      </c>
      <c r="M963" s="8" t="s">
        <v>6230</v>
      </c>
      <c r="N963" s="8" t="s">
        <v>68</v>
      </c>
      <c r="O963" s="8" t="s">
        <v>699</v>
      </c>
      <c r="P963" s="6" t="s">
        <v>43</v>
      </c>
      <c r="Q963" s="8" t="s">
        <v>44</v>
      </c>
      <c r="R963" s="10" t="s">
        <v>6231</v>
      </c>
      <c r="S963" s="11" t="s">
        <v>6232</v>
      </c>
      <c r="T963" s="6" t="s">
        <v>110</v>
      </c>
      <c r="U963" s="28" t="str">
        <f>HYPERLINK("https://media.infra-m.ru/2139/2139080/cover/2139080.jpg", "Обложка")</f>
        <v>Обложка</v>
      </c>
      <c r="V963" s="28" t="str">
        <f>HYPERLINK("https://znanium.ru/catalog/product/2139080", "Ознакомиться")</f>
        <v>Ознакомиться</v>
      </c>
      <c r="W963" s="8" t="s">
        <v>163</v>
      </c>
      <c r="X963" s="6"/>
      <c r="Y963" s="6"/>
      <c r="Z963" s="6"/>
      <c r="AA963" s="6" t="s">
        <v>524</v>
      </c>
    </row>
    <row r="964" spans="1:27" s="4" customFormat="1" ht="51.95" customHeight="1">
      <c r="A964" s="5">
        <v>0</v>
      </c>
      <c r="B964" s="6" t="s">
        <v>6233</v>
      </c>
      <c r="C964" s="13">
        <v>530</v>
      </c>
      <c r="D964" s="8" t="s">
        <v>6234</v>
      </c>
      <c r="E964" s="8" t="s">
        <v>6235</v>
      </c>
      <c r="F964" s="8" t="s">
        <v>6236</v>
      </c>
      <c r="G964" s="6" t="s">
        <v>54</v>
      </c>
      <c r="H964" s="6" t="s">
        <v>38</v>
      </c>
      <c r="I964" s="8" t="s">
        <v>39</v>
      </c>
      <c r="J964" s="9">
        <v>1</v>
      </c>
      <c r="K964" s="9">
        <v>96</v>
      </c>
      <c r="L964" s="9">
        <v>2023</v>
      </c>
      <c r="M964" s="8" t="s">
        <v>6237</v>
      </c>
      <c r="N964" s="8" t="s">
        <v>41</v>
      </c>
      <c r="O964" s="8" t="s">
        <v>160</v>
      </c>
      <c r="P964" s="6" t="s">
        <v>43</v>
      </c>
      <c r="Q964" s="8" t="s">
        <v>44</v>
      </c>
      <c r="R964" s="10" t="s">
        <v>6238</v>
      </c>
      <c r="S964" s="11" t="s">
        <v>6239</v>
      </c>
      <c r="T964" s="6"/>
      <c r="U964" s="28" t="str">
        <f>HYPERLINK("https://media.infra-m.ru/0999/0999930/cover/999930.jpg", "Обложка")</f>
        <v>Обложка</v>
      </c>
      <c r="V964" s="28" t="str">
        <f>HYPERLINK("https://znanium.ru/catalog/product/999930", "Ознакомиться")</f>
        <v>Ознакомиться</v>
      </c>
      <c r="W964" s="8" t="s">
        <v>3453</v>
      </c>
      <c r="X964" s="6"/>
      <c r="Y964" s="6"/>
      <c r="Z964" s="6" t="s">
        <v>48</v>
      </c>
      <c r="AA964" s="6" t="s">
        <v>85</v>
      </c>
    </row>
    <row r="965" spans="1:27" s="4" customFormat="1" ht="51.95" customHeight="1">
      <c r="A965" s="5">
        <v>0</v>
      </c>
      <c r="B965" s="6" t="s">
        <v>6240</v>
      </c>
      <c r="C965" s="7">
        <v>1540</v>
      </c>
      <c r="D965" s="8" t="s">
        <v>6241</v>
      </c>
      <c r="E965" s="8" t="s">
        <v>6242</v>
      </c>
      <c r="F965" s="8" t="s">
        <v>6243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334</v>
      </c>
      <c r="L965" s="9">
        <v>2024</v>
      </c>
      <c r="M965" s="8" t="s">
        <v>6244</v>
      </c>
      <c r="N965" s="8" t="s">
        <v>41</v>
      </c>
      <c r="O965" s="8" t="s">
        <v>1222</v>
      </c>
      <c r="P965" s="6" t="s">
        <v>70</v>
      </c>
      <c r="Q965" s="8" t="s">
        <v>44</v>
      </c>
      <c r="R965" s="10" t="s">
        <v>6245</v>
      </c>
      <c r="S965" s="11" t="s">
        <v>6246</v>
      </c>
      <c r="T965" s="6"/>
      <c r="U965" s="28" t="str">
        <f>HYPERLINK("https://media.infra-m.ru/2129/2129208/cover/2129208.jpg", "Обложка")</f>
        <v>Обложка</v>
      </c>
      <c r="V965" s="28" t="str">
        <f>HYPERLINK("https://znanium.ru/catalog/product/2129208", "Ознакомиться")</f>
        <v>Ознакомиться</v>
      </c>
      <c r="W965" s="8" t="s">
        <v>5538</v>
      </c>
      <c r="X965" s="6"/>
      <c r="Y965" s="6" t="s">
        <v>30</v>
      </c>
      <c r="Z965" s="6"/>
      <c r="AA965" s="6" t="s">
        <v>1990</v>
      </c>
    </row>
    <row r="966" spans="1:27" s="4" customFormat="1" ht="51.95" customHeight="1">
      <c r="A966" s="5">
        <v>0</v>
      </c>
      <c r="B966" s="6" t="s">
        <v>6247</v>
      </c>
      <c r="C966" s="13">
        <v>924.9</v>
      </c>
      <c r="D966" s="8" t="s">
        <v>6248</v>
      </c>
      <c r="E966" s="8" t="s">
        <v>6249</v>
      </c>
      <c r="F966" s="8" t="s">
        <v>5805</v>
      </c>
      <c r="G966" s="6" t="s">
        <v>37</v>
      </c>
      <c r="H966" s="6" t="s">
        <v>79</v>
      </c>
      <c r="I966" s="8" t="s">
        <v>39</v>
      </c>
      <c r="J966" s="9">
        <v>1</v>
      </c>
      <c r="K966" s="9">
        <v>271</v>
      </c>
      <c r="L966" s="9">
        <v>2019</v>
      </c>
      <c r="M966" s="8" t="s">
        <v>6250</v>
      </c>
      <c r="N966" s="8" t="s">
        <v>41</v>
      </c>
      <c r="O966" s="8" t="s">
        <v>1222</v>
      </c>
      <c r="P966" s="6" t="s">
        <v>70</v>
      </c>
      <c r="Q966" s="8" t="s">
        <v>44</v>
      </c>
      <c r="R966" s="10" t="s">
        <v>6245</v>
      </c>
      <c r="S966" s="11"/>
      <c r="T966" s="6"/>
      <c r="U966" s="28" t="str">
        <f>HYPERLINK("https://media.infra-m.ru/0994/0994459/cover/994459.jpg", "Обложка")</f>
        <v>Обложка</v>
      </c>
      <c r="V966" s="28" t="str">
        <f>HYPERLINK("https://znanium.ru/catalog/product/2129208", "Ознакомиться")</f>
        <v>Ознакомиться</v>
      </c>
      <c r="W966" s="8" t="s">
        <v>5538</v>
      </c>
      <c r="X966" s="6"/>
      <c r="Y966" s="6" t="s">
        <v>30</v>
      </c>
      <c r="Z966" s="6"/>
      <c r="AA966" s="6" t="s">
        <v>587</v>
      </c>
    </row>
    <row r="967" spans="1:27" s="4" customFormat="1" ht="51.95" customHeight="1">
      <c r="A967" s="5">
        <v>0</v>
      </c>
      <c r="B967" s="6" t="s">
        <v>6251</v>
      </c>
      <c r="C967" s="7">
        <v>1064.9000000000001</v>
      </c>
      <c r="D967" s="8" t="s">
        <v>6252</v>
      </c>
      <c r="E967" s="8" t="s">
        <v>6253</v>
      </c>
      <c r="F967" s="8" t="s">
        <v>6254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236</v>
      </c>
      <c r="L967" s="9">
        <v>2023</v>
      </c>
      <c r="M967" s="8" t="s">
        <v>6255</v>
      </c>
      <c r="N967" s="8" t="s">
        <v>41</v>
      </c>
      <c r="O967" s="8" t="s">
        <v>1222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HYPERLINK("https://media.infra-m.ru/2045/2045958/cover/2045958.jpg", "Обложка")</f>
        <v>Обложка</v>
      </c>
      <c r="V967" s="28" t="str">
        <f>HYPERLINK("https://znanium.ru/catalog/product/1215061", "Ознакомиться")</f>
        <v>Ознакомиться</v>
      </c>
      <c r="W967" s="8" t="s">
        <v>4250</v>
      </c>
      <c r="X967" s="6"/>
      <c r="Y967" s="6"/>
      <c r="Z967" s="6"/>
      <c r="AA967" s="6" t="s">
        <v>414</v>
      </c>
    </row>
    <row r="968" spans="1:27" s="4" customFormat="1" ht="51.95" customHeight="1">
      <c r="A968" s="5">
        <v>0</v>
      </c>
      <c r="B968" s="6" t="s">
        <v>6258</v>
      </c>
      <c r="C968" s="7">
        <v>1297</v>
      </c>
      <c r="D968" s="8" t="s">
        <v>6259</v>
      </c>
      <c r="E968" s="8" t="s">
        <v>6260</v>
      </c>
      <c r="F968" s="8" t="s">
        <v>1594</v>
      </c>
      <c r="G968" s="6" t="s">
        <v>54</v>
      </c>
      <c r="H968" s="6" t="s">
        <v>79</v>
      </c>
      <c r="I968" s="8" t="s">
        <v>39</v>
      </c>
      <c r="J968" s="9">
        <v>1</v>
      </c>
      <c r="K968" s="9">
        <v>132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43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HYPERLINK("https://media.infra-m.ru/2136/2136796/cover/2136796.jpg", "Обложка")</f>
        <v>Обложка</v>
      </c>
      <c r="V968" s="28" t="str">
        <f>HYPERLINK("https://znanium.ru/catalog/product/1896828", "Ознакомиться")</f>
        <v>Ознакомиться</v>
      </c>
      <c r="W968" s="8" t="s">
        <v>1589</v>
      </c>
      <c r="X968" s="6"/>
      <c r="Y968" s="6" t="s">
        <v>30</v>
      </c>
      <c r="Z968" s="6"/>
      <c r="AA968" s="6" t="s">
        <v>482</v>
      </c>
    </row>
    <row r="969" spans="1:27" s="4" customFormat="1" ht="51.95" customHeight="1">
      <c r="A969" s="5">
        <v>0</v>
      </c>
      <c r="B969" s="6" t="s">
        <v>6264</v>
      </c>
      <c r="C969" s="7">
        <v>1500</v>
      </c>
      <c r="D969" s="8" t="s">
        <v>6265</v>
      </c>
      <c r="E969" s="8" t="s">
        <v>6266</v>
      </c>
      <c r="F969" s="8" t="s">
        <v>6267</v>
      </c>
      <c r="G969" s="6" t="s">
        <v>66</v>
      </c>
      <c r="H969" s="6" t="s">
        <v>79</v>
      </c>
      <c r="I969" s="8" t="s">
        <v>39</v>
      </c>
      <c r="J969" s="9">
        <v>1</v>
      </c>
      <c r="K969" s="9">
        <v>320</v>
      </c>
      <c r="L969" s="9">
        <v>2024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6269</v>
      </c>
      <c r="S969" s="11" t="s">
        <v>6270</v>
      </c>
      <c r="T969" s="6"/>
      <c r="U969" s="28" t="str">
        <f>HYPERLINK("https://media.infra-m.ru/2083/2083155/cover/2083155.jpg", "Обложка")</f>
        <v>Обложка</v>
      </c>
      <c r="V969" s="28" t="str">
        <f>HYPERLINK("https://znanium.ru/catalog/product/2083155", "Ознакомиться")</f>
        <v>Ознакомиться</v>
      </c>
      <c r="W969" s="8" t="s">
        <v>2077</v>
      </c>
      <c r="X969" s="6"/>
      <c r="Y969" s="6" t="s">
        <v>30</v>
      </c>
      <c r="Z969" s="6"/>
      <c r="AA969" s="6" t="s">
        <v>103</v>
      </c>
    </row>
    <row r="970" spans="1:27" s="4" customFormat="1" ht="51.95" customHeight="1">
      <c r="A970" s="5">
        <v>0</v>
      </c>
      <c r="B970" s="6" t="s">
        <v>6271</v>
      </c>
      <c r="C970" s="7">
        <v>1774</v>
      </c>
      <c r="D970" s="8" t="s">
        <v>6272</v>
      </c>
      <c r="E970" s="8" t="s">
        <v>6266</v>
      </c>
      <c r="F970" s="8" t="s">
        <v>6273</v>
      </c>
      <c r="G970" s="6" t="s">
        <v>37</v>
      </c>
      <c r="H970" s="6" t="s">
        <v>79</v>
      </c>
      <c r="I970" s="8" t="s">
        <v>39</v>
      </c>
      <c r="J970" s="9">
        <v>1</v>
      </c>
      <c r="K970" s="9">
        <v>376</v>
      </c>
      <c r="L970" s="9">
        <v>2024</v>
      </c>
      <c r="M970" s="8" t="s">
        <v>6274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6275</v>
      </c>
      <c r="S970" s="11" t="s">
        <v>3290</v>
      </c>
      <c r="T970" s="6"/>
      <c r="U970" s="28" t="str">
        <f>HYPERLINK("https://media.infra-m.ru/2149/2149788/cover/2149788.jpg", "Обложка")</f>
        <v>Обложка</v>
      </c>
      <c r="V970" s="28" t="str">
        <f>HYPERLINK("https://znanium.ru/catalog/product/1190673", "Ознакомиться")</f>
        <v>Ознакомиться</v>
      </c>
      <c r="W970" s="8" t="s">
        <v>1724</v>
      </c>
      <c r="X970" s="6"/>
      <c r="Y970" s="6" t="s">
        <v>30</v>
      </c>
      <c r="Z970" s="6"/>
      <c r="AA970" s="6" t="s">
        <v>94</v>
      </c>
    </row>
    <row r="971" spans="1:27" s="4" customFormat="1" ht="51.95" customHeight="1">
      <c r="A971" s="5">
        <v>0</v>
      </c>
      <c r="B971" s="6" t="s">
        <v>6276</v>
      </c>
      <c r="C971" s="7">
        <v>1034</v>
      </c>
      <c r="D971" s="8" t="s">
        <v>6277</v>
      </c>
      <c r="E971" s="8" t="s">
        <v>6278</v>
      </c>
      <c r="F971" s="8" t="s">
        <v>6279</v>
      </c>
      <c r="G971" s="6" t="s">
        <v>37</v>
      </c>
      <c r="H971" s="6" t="s">
        <v>79</v>
      </c>
      <c r="I971" s="8" t="s">
        <v>39</v>
      </c>
      <c r="J971" s="9">
        <v>1</v>
      </c>
      <c r="K971" s="9">
        <v>224</v>
      </c>
      <c r="L971" s="9">
        <v>2024</v>
      </c>
      <c r="M971" s="8" t="s">
        <v>6280</v>
      </c>
      <c r="N971" s="8" t="s">
        <v>41</v>
      </c>
      <c r="O971" s="8" t="s">
        <v>303</v>
      </c>
      <c r="P971" s="6" t="s">
        <v>43</v>
      </c>
      <c r="Q971" s="8" t="s">
        <v>44</v>
      </c>
      <c r="R971" s="10" t="s">
        <v>3403</v>
      </c>
      <c r="S971" s="11" t="s">
        <v>6281</v>
      </c>
      <c r="T971" s="6"/>
      <c r="U971" s="28" t="str">
        <f>HYPERLINK("https://media.infra-m.ru/2110/2110951/cover/2110951.jpg", "Обложка")</f>
        <v>Обложка</v>
      </c>
      <c r="V971" s="28" t="str">
        <f>HYPERLINK("https://znanium.ru/catalog/product/1406645", "Ознакомиться")</f>
        <v>Ознакомиться</v>
      </c>
      <c r="W971" s="8" t="s">
        <v>277</v>
      </c>
      <c r="X971" s="6"/>
      <c r="Y971" s="6"/>
      <c r="Z971" s="6" t="s">
        <v>48</v>
      </c>
      <c r="AA971" s="6" t="s">
        <v>893</v>
      </c>
    </row>
    <row r="972" spans="1:27" s="4" customFormat="1" ht="51.95" customHeight="1">
      <c r="A972" s="5">
        <v>0</v>
      </c>
      <c r="B972" s="6" t="s">
        <v>6282</v>
      </c>
      <c r="C972" s="13">
        <v>679.9</v>
      </c>
      <c r="D972" s="8" t="s">
        <v>6283</v>
      </c>
      <c r="E972" s="8" t="s">
        <v>6284</v>
      </c>
      <c r="F972" s="8" t="s">
        <v>6285</v>
      </c>
      <c r="G972" s="6" t="s">
        <v>37</v>
      </c>
      <c r="H972" s="6" t="s">
        <v>79</v>
      </c>
      <c r="I972" s="8" t="s">
        <v>39</v>
      </c>
      <c r="J972" s="9">
        <v>20</v>
      </c>
      <c r="K972" s="9">
        <v>288</v>
      </c>
      <c r="L972" s="9">
        <v>2017</v>
      </c>
      <c r="M972" s="8" t="s">
        <v>6286</v>
      </c>
      <c r="N972" s="8" t="s">
        <v>41</v>
      </c>
      <c r="O972" s="8" t="s">
        <v>178</v>
      </c>
      <c r="P972" s="6" t="s">
        <v>70</v>
      </c>
      <c r="Q972" s="8" t="s">
        <v>44</v>
      </c>
      <c r="R972" s="10" t="s">
        <v>6287</v>
      </c>
      <c r="S972" s="11" t="s">
        <v>3641</v>
      </c>
      <c r="T972" s="6"/>
      <c r="U972" s="28" t="str">
        <f>HYPERLINK("https://media.infra-m.ru/0559/0559371/cover/559371.jpg", "Обложка")</f>
        <v>Обложка</v>
      </c>
      <c r="V972" s="28" t="str">
        <f>HYPERLINK("https://znanium.ru/catalog/product/1989252", "Ознакомиться")</f>
        <v>Ознакомиться</v>
      </c>
      <c r="W972" s="8"/>
      <c r="X972" s="6"/>
      <c r="Y972" s="6" t="s">
        <v>30</v>
      </c>
      <c r="Z972" s="6"/>
      <c r="AA972" s="6" t="s">
        <v>1358</v>
      </c>
    </row>
    <row r="973" spans="1:27" s="4" customFormat="1" ht="51.95" customHeight="1">
      <c r="A973" s="5">
        <v>0</v>
      </c>
      <c r="B973" s="6" t="s">
        <v>6288</v>
      </c>
      <c r="C973" s="7">
        <v>1550</v>
      </c>
      <c r="D973" s="8" t="s">
        <v>6289</v>
      </c>
      <c r="E973" s="8" t="s">
        <v>6290</v>
      </c>
      <c r="F973" s="8" t="s">
        <v>6291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338</v>
      </c>
      <c r="L973" s="9">
        <v>2023</v>
      </c>
      <c r="M973" s="8" t="s">
        <v>6292</v>
      </c>
      <c r="N973" s="8" t="s">
        <v>41</v>
      </c>
      <c r="O973" s="8" t="s">
        <v>178</v>
      </c>
      <c r="P973" s="6" t="s">
        <v>70</v>
      </c>
      <c r="Q973" s="8" t="s">
        <v>44</v>
      </c>
      <c r="R973" s="10" t="s">
        <v>6287</v>
      </c>
      <c r="S973" s="11" t="s">
        <v>3641</v>
      </c>
      <c r="T973" s="6"/>
      <c r="U973" s="28" t="str">
        <f>HYPERLINK("https://media.infra-m.ru/1989/1989252/cover/1989252.jpg", "Обложка")</f>
        <v>Обложка</v>
      </c>
      <c r="V973" s="28" t="str">
        <f>HYPERLINK("https://znanium.ru/catalog/product/1989252", "Ознакомиться")</f>
        <v>Ознакомиться</v>
      </c>
      <c r="W973" s="8"/>
      <c r="X973" s="6"/>
      <c r="Y973" s="6" t="s">
        <v>30</v>
      </c>
      <c r="Z973" s="6"/>
      <c r="AA973" s="6" t="s">
        <v>1379</v>
      </c>
    </row>
    <row r="974" spans="1:27" s="4" customFormat="1" ht="51.95" customHeight="1">
      <c r="A974" s="5">
        <v>0</v>
      </c>
      <c r="B974" s="6" t="s">
        <v>6293</v>
      </c>
      <c r="C974" s="7">
        <v>1360</v>
      </c>
      <c r="D974" s="8" t="s">
        <v>6294</v>
      </c>
      <c r="E974" s="8" t="s">
        <v>6295</v>
      </c>
      <c r="F974" s="8" t="s">
        <v>6296</v>
      </c>
      <c r="G974" s="6" t="s">
        <v>66</v>
      </c>
      <c r="H974" s="6" t="s">
        <v>79</v>
      </c>
      <c r="I974" s="8" t="s">
        <v>39</v>
      </c>
      <c r="J974" s="9">
        <v>1</v>
      </c>
      <c r="K974" s="9">
        <v>359</v>
      </c>
      <c r="L974" s="9">
        <v>2022</v>
      </c>
      <c r="M974" s="8" t="s">
        <v>6297</v>
      </c>
      <c r="N974" s="8" t="s">
        <v>41</v>
      </c>
      <c r="O974" s="8" t="s">
        <v>178</v>
      </c>
      <c r="P974" s="6" t="s">
        <v>43</v>
      </c>
      <c r="Q974" s="8" t="s">
        <v>44</v>
      </c>
      <c r="R974" s="10" t="s">
        <v>6298</v>
      </c>
      <c r="S974" s="11" t="s">
        <v>6299</v>
      </c>
      <c r="T974" s="6"/>
      <c r="U974" s="28" t="str">
        <f>HYPERLINK("https://media.infra-m.ru/1860/1860099/cover/1860099.jpg", "Обложка")</f>
        <v>Обложка</v>
      </c>
      <c r="V974" s="28" t="str">
        <f>HYPERLINK("https://znanium.ru/catalog/product/1860099", "Ознакомиться")</f>
        <v>Ознакомиться</v>
      </c>
      <c r="W974" s="8" t="s">
        <v>1225</v>
      </c>
      <c r="X974" s="6"/>
      <c r="Y974" s="6"/>
      <c r="Z974" s="6" t="s">
        <v>687</v>
      </c>
      <c r="AA974" s="6" t="s">
        <v>656</v>
      </c>
    </row>
    <row r="975" spans="1:27" s="4" customFormat="1" ht="51.95" customHeight="1">
      <c r="A975" s="5">
        <v>0</v>
      </c>
      <c r="B975" s="6" t="s">
        <v>6300</v>
      </c>
      <c r="C975" s="7">
        <v>1830</v>
      </c>
      <c r="D975" s="8" t="s">
        <v>6301</v>
      </c>
      <c r="E975" s="8" t="s">
        <v>6302</v>
      </c>
      <c r="F975" s="8" t="s">
        <v>5294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396</v>
      </c>
      <c r="L975" s="9">
        <v>2024</v>
      </c>
      <c r="M975" s="8" t="s">
        <v>6303</v>
      </c>
      <c r="N975" s="8" t="s">
        <v>41</v>
      </c>
      <c r="O975" s="8" t="s">
        <v>42</v>
      </c>
      <c r="P975" s="6" t="s">
        <v>43</v>
      </c>
      <c r="Q975" s="8" t="s">
        <v>44</v>
      </c>
      <c r="R975" s="10" t="s">
        <v>6304</v>
      </c>
      <c r="S975" s="11" t="s">
        <v>6305</v>
      </c>
      <c r="T975" s="6" t="s">
        <v>110</v>
      </c>
      <c r="U975" s="28" t="str">
        <f>HYPERLINK("https://media.infra-m.ru/2126/2126820/cover/2126820.jpg", "Обложка")</f>
        <v>Обложка</v>
      </c>
      <c r="V975" s="28" t="str">
        <f>HYPERLINK("https://znanium.ru/catalog/product/2126820", "Ознакомиться")</f>
        <v>Ознакомиться</v>
      </c>
      <c r="W975" s="8" t="s">
        <v>5298</v>
      </c>
      <c r="X975" s="6"/>
      <c r="Y975" s="6"/>
      <c r="Z975" s="6" t="s">
        <v>48</v>
      </c>
      <c r="AA975" s="6" t="s">
        <v>94</v>
      </c>
    </row>
    <row r="976" spans="1:27" s="4" customFormat="1" ht="42" customHeight="1">
      <c r="A976" s="5">
        <v>0</v>
      </c>
      <c r="B976" s="6" t="s">
        <v>6306</v>
      </c>
      <c r="C976" s="7">
        <v>1154</v>
      </c>
      <c r="D976" s="8" t="s">
        <v>6307</v>
      </c>
      <c r="E976" s="8" t="s">
        <v>6308</v>
      </c>
      <c r="F976" s="8" t="s">
        <v>3881</v>
      </c>
      <c r="G976" s="6" t="s">
        <v>37</v>
      </c>
      <c r="H976" s="6" t="s">
        <v>716</v>
      </c>
      <c r="I976" s="8" t="s">
        <v>39</v>
      </c>
      <c r="J976" s="9">
        <v>1</v>
      </c>
      <c r="K976" s="9">
        <v>256</v>
      </c>
      <c r="L976" s="9">
        <v>2023</v>
      </c>
      <c r="M976" s="8" t="s">
        <v>6309</v>
      </c>
      <c r="N976" s="8" t="s">
        <v>41</v>
      </c>
      <c r="O976" s="8" t="s">
        <v>42</v>
      </c>
      <c r="P976" s="6" t="s">
        <v>70</v>
      </c>
      <c r="Q976" s="8" t="s">
        <v>44</v>
      </c>
      <c r="R976" s="10" t="s">
        <v>6310</v>
      </c>
      <c r="S976" s="11"/>
      <c r="T976" s="6"/>
      <c r="U976" s="28" t="str">
        <f>HYPERLINK("https://media.infra-m.ru/2002/2002606/cover/2002606.jpg", "Обложка")</f>
        <v>Обложка</v>
      </c>
      <c r="V976" s="28" t="str">
        <f>HYPERLINK("https://znanium.ru/catalog/product/1214881", "Ознакомиться")</f>
        <v>Ознакомиться</v>
      </c>
      <c r="W976" s="8" t="s">
        <v>1971</v>
      </c>
      <c r="X976" s="6"/>
      <c r="Y976" s="6"/>
      <c r="Z976" s="6"/>
      <c r="AA976" s="6" t="s">
        <v>671</v>
      </c>
    </row>
    <row r="977" spans="1:27" s="4" customFormat="1" ht="44.1" customHeight="1">
      <c r="A977" s="5">
        <v>0</v>
      </c>
      <c r="B977" s="6" t="s">
        <v>6311</v>
      </c>
      <c r="C977" s="7">
        <v>1140</v>
      </c>
      <c r="D977" s="8" t="s">
        <v>6312</v>
      </c>
      <c r="E977" s="8" t="s">
        <v>6308</v>
      </c>
      <c r="F977" s="8" t="s">
        <v>3881</v>
      </c>
      <c r="G977" s="6" t="s">
        <v>66</v>
      </c>
      <c r="H977" s="6" t="s">
        <v>716</v>
      </c>
      <c r="I977" s="8" t="s">
        <v>39</v>
      </c>
      <c r="J977" s="9">
        <v>1</v>
      </c>
      <c r="K977" s="9">
        <v>242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6314</v>
      </c>
      <c r="S977" s="11"/>
      <c r="T977" s="6"/>
      <c r="U977" s="28" t="str">
        <f>HYPERLINK("https://media.infra-m.ru/2112/2112889/cover/2112889.jpg", "Обложка")</f>
        <v>Обложка</v>
      </c>
      <c r="V977" s="28" t="str">
        <f>HYPERLINK("https://znanium.ru/catalog/product/2112889", "Ознакомиться")</f>
        <v>Ознакомиться</v>
      </c>
      <c r="W977" s="8" t="s">
        <v>1971</v>
      </c>
      <c r="X977" s="6"/>
      <c r="Y977" s="6" t="s">
        <v>30</v>
      </c>
      <c r="Z977" s="6"/>
      <c r="AA977" s="6" t="s">
        <v>671</v>
      </c>
    </row>
    <row r="978" spans="1:27" s="4" customFormat="1" ht="51.95" customHeight="1">
      <c r="A978" s="5">
        <v>0</v>
      </c>
      <c r="B978" s="6" t="s">
        <v>6315</v>
      </c>
      <c r="C978" s="7">
        <v>1994</v>
      </c>
      <c r="D978" s="8" t="s">
        <v>6316</v>
      </c>
      <c r="E978" s="8" t="s">
        <v>6317</v>
      </c>
      <c r="F978" s="8" t="s">
        <v>6318</v>
      </c>
      <c r="G978" s="6" t="s">
        <v>37</v>
      </c>
      <c r="H978" s="6" t="s">
        <v>38</v>
      </c>
      <c r="I978" s="8" t="s">
        <v>56</v>
      </c>
      <c r="J978" s="9">
        <v>1</v>
      </c>
      <c r="K978" s="9">
        <v>608</v>
      </c>
      <c r="L978" s="9">
        <v>2024</v>
      </c>
      <c r="M978" s="8" t="s">
        <v>6319</v>
      </c>
      <c r="N978" s="8" t="s">
        <v>41</v>
      </c>
      <c r="O978" s="8" t="s">
        <v>42</v>
      </c>
      <c r="P978" s="6" t="s">
        <v>70</v>
      </c>
      <c r="Q978" s="8" t="s">
        <v>44</v>
      </c>
      <c r="R978" s="10" t="s">
        <v>59</v>
      </c>
      <c r="S978" s="11" t="s">
        <v>6320</v>
      </c>
      <c r="T978" s="6"/>
      <c r="U978" s="28" t="str">
        <f>HYPERLINK("https://media.infra-m.ru/2054/2054179/cover/2054179.jpg", "Обложка")</f>
        <v>Обложка</v>
      </c>
      <c r="V978" s="28" t="str">
        <f>HYPERLINK("https://znanium.ru/catalog/product/1189949", "Ознакомиться")</f>
        <v>Ознакомиться</v>
      </c>
      <c r="W978" s="8" t="s">
        <v>710</v>
      </c>
      <c r="X978" s="6"/>
      <c r="Y978" s="6"/>
      <c r="Z978" s="6"/>
      <c r="AA978" s="6" t="s">
        <v>5328</v>
      </c>
    </row>
    <row r="979" spans="1:27" s="4" customFormat="1" ht="51.95" customHeight="1">
      <c r="A979" s="5">
        <v>0</v>
      </c>
      <c r="B979" s="6" t="s">
        <v>6321</v>
      </c>
      <c r="C979" s="7">
        <v>1224</v>
      </c>
      <c r="D979" s="8" t="s">
        <v>6322</v>
      </c>
      <c r="E979" s="8" t="s">
        <v>6323</v>
      </c>
      <c r="F979" s="8" t="s">
        <v>6324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260</v>
      </c>
      <c r="L979" s="9">
        <v>2024</v>
      </c>
      <c r="M979" s="8" t="s">
        <v>6325</v>
      </c>
      <c r="N979" s="8" t="s">
        <v>41</v>
      </c>
      <c r="O979" s="8" t="s">
        <v>42</v>
      </c>
      <c r="P979" s="6" t="s">
        <v>43</v>
      </c>
      <c r="Q979" s="8" t="s">
        <v>44</v>
      </c>
      <c r="R979" s="10" t="s">
        <v>6326</v>
      </c>
      <c r="S979" s="11" t="s">
        <v>6327</v>
      </c>
      <c r="T979" s="6"/>
      <c r="U979" s="28" t="str">
        <f>HYPERLINK("https://media.infra-m.ru/2131/2131620/cover/2131620.jpg", "Обложка")</f>
        <v>Обложка</v>
      </c>
      <c r="V979" s="28" t="str">
        <f>HYPERLINK("https://znanium.ru/catalog/product/1083293", "Ознакомиться")</f>
        <v>Ознакомиться</v>
      </c>
      <c r="W979" s="8" t="s">
        <v>726</v>
      </c>
      <c r="X979" s="6"/>
      <c r="Y979" s="6" t="s">
        <v>30</v>
      </c>
      <c r="Z979" s="6"/>
      <c r="AA979" s="6" t="s">
        <v>893</v>
      </c>
    </row>
    <row r="980" spans="1:27" s="4" customFormat="1" ht="51.95" customHeight="1">
      <c r="A980" s="5">
        <v>0</v>
      </c>
      <c r="B980" s="6" t="s">
        <v>6328</v>
      </c>
      <c r="C980" s="13">
        <v>820</v>
      </c>
      <c r="D980" s="8" t="s">
        <v>6329</v>
      </c>
      <c r="E980" s="8" t="s">
        <v>6308</v>
      </c>
      <c r="F980" s="8" t="s">
        <v>6330</v>
      </c>
      <c r="G980" s="6" t="s">
        <v>66</v>
      </c>
      <c r="H980" s="6" t="s">
        <v>283</v>
      </c>
      <c r="I980" s="8" t="s">
        <v>39</v>
      </c>
      <c r="J980" s="9">
        <v>1</v>
      </c>
      <c r="K980" s="9">
        <v>256</v>
      </c>
      <c r="L980" s="9">
        <v>2019</v>
      </c>
      <c r="M980" s="8" t="s">
        <v>6331</v>
      </c>
      <c r="N980" s="8" t="s">
        <v>41</v>
      </c>
      <c r="O980" s="8" t="s">
        <v>42</v>
      </c>
      <c r="P980" s="6" t="s">
        <v>43</v>
      </c>
      <c r="Q980" s="8" t="s">
        <v>44</v>
      </c>
      <c r="R980" s="10" t="s">
        <v>6326</v>
      </c>
      <c r="S980" s="11" t="s">
        <v>6332</v>
      </c>
      <c r="T980" s="6"/>
      <c r="U980" s="28" t="str">
        <f>HYPERLINK("https://media.infra-m.ru/1021/1021128/cover/1021128.jpg", "Обложка")</f>
        <v>Обложка</v>
      </c>
      <c r="V980" s="28" t="str">
        <f>HYPERLINK("https://znanium.ru/catalog/product/1083293", "Ознакомиться")</f>
        <v>Ознакомиться</v>
      </c>
      <c r="W980" s="8" t="s">
        <v>726</v>
      </c>
      <c r="X980" s="6"/>
      <c r="Y980" s="6" t="s">
        <v>30</v>
      </c>
      <c r="Z980" s="6"/>
      <c r="AA980" s="6" t="s">
        <v>262</v>
      </c>
    </row>
    <row r="981" spans="1:27" s="4" customFormat="1" ht="51.95" customHeight="1">
      <c r="A981" s="5">
        <v>0</v>
      </c>
      <c r="B981" s="6" t="s">
        <v>6333</v>
      </c>
      <c r="C981" s="7">
        <v>1334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282</v>
      </c>
      <c r="L981" s="9">
        <v>2024</v>
      </c>
      <c r="M981" s="8" t="s">
        <v>6337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1333</v>
      </c>
      <c r="S981" s="11" t="s">
        <v>6338</v>
      </c>
      <c r="T981" s="6"/>
      <c r="U981" s="28" t="str">
        <f>HYPERLINK("https://media.infra-m.ru/2152/2152112/cover/2152112.jpg", "Обложка")</f>
        <v>Обложка</v>
      </c>
      <c r="V981" s="28" t="str">
        <f>HYPERLINK("https://znanium.ru/catalog/product/1858849", "Ознакомиться")</f>
        <v>Ознакомиться</v>
      </c>
      <c r="W981" s="8" t="s">
        <v>1913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6339</v>
      </c>
      <c r="C982" s="7">
        <v>1884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400</v>
      </c>
      <c r="L982" s="9">
        <v>2024</v>
      </c>
      <c r="M982" s="8" t="s">
        <v>6343</v>
      </c>
      <c r="N982" s="8" t="s">
        <v>41</v>
      </c>
      <c r="O982" s="8" t="s">
        <v>178</v>
      </c>
      <c r="P982" s="6" t="s">
        <v>70</v>
      </c>
      <c r="Q982" s="8" t="s">
        <v>44</v>
      </c>
      <c r="R982" s="10" t="s">
        <v>6344</v>
      </c>
      <c r="S982" s="11" t="s">
        <v>6270</v>
      </c>
      <c r="T982" s="6"/>
      <c r="U982" s="28" t="str">
        <f>HYPERLINK("https://media.infra-m.ru/2008/2008782/cover/2008782.jpg", "Обложка")</f>
        <v>Обложка</v>
      </c>
      <c r="V982" s="28" t="str">
        <f>HYPERLINK("https://znanium.ru/catalog/product/1836103", "Ознакомиться")</f>
        <v>Ознакомиться</v>
      </c>
      <c r="W982" s="8" t="s">
        <v>163</v>
      </c>
      <c r="X982" s="6"/>
      <c r="Y982" s="6"/>
      <c r="Z982" s="6"/>
      <c r="AA982" s="6" t="s">
        <v>103</v>
      </c>
    </row>
    <row r="983" spans="1:27" s="4" customFormat="1" ht="51.95" customHeight="1">
      <c r="A983" s="5">
        <v>0</v>
      </c>
      <c r="B983" s="6" t="s">
        <v>6345</v>
      </c>
      <c r="C983" s="13">
        <v>974</v>
      </c>
      <c r="D983" s="8" t="s">
        <v>6346</v>
      </c>
      <c r="E983" s="8" t="s">
        <v>6347</v>
      </c>
      <c r="F983" s="8" t="s">
        <v>4885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208</v>
      </c>
      <c r="L983" s="9">
        <v>2024</v>
      </c>
      <c r="M983" s="8" t="s">
        <v>6348</v>
      </c>
      <c r="N983" s="8" t="s">
        <v>41</v>
      </c>
      <c r="O983" s="8" t="s">
        <v>227</v>
      </c>
      <c r="P983" s="6" t="s">
        <v>43</v>
      </c>
      <c r="Q983" s="8" t="s">
        <v>44</v>
      </c>
      <c r="R983" s="10" t="s">
        <v>1655</v>
      </c>
      <c r="S983" s="11" t="s">
        <v>6349</v>
      </c>
      <c r="T983" s="6"/>
      <c r="U983" s="28" t="str">
        <f>HYPERLINK("https://media.infra-m.ru/2137/2137066/cover/2137066.jpg", "Обложка")</f>
        <v>Обложка</v>
      </c>
      <c r="V983" s="28" t="str">
        <f>HYPERLINK("https://znanium.ru/catalog/product/1242552", "Ознакомиться")</f>
        <v>Ознакомиться</v>
      </c>
      <c r="W983" s="8" t="s">
        <v>287</v>
      </c>
      <c r="X983" s="6"/>
      <c r="Y983" s="6"/>
      <c r="Z983" s="6"/>
      <c r="AA983" s="6" t="s">
        <v>872</v>
      </c>
    </row>
    <row r="984" spans="1:27" s="4" customFormat="1" ht="51.95" customHeight="1">
      <c r="A984" s="5">
        <v>0</v>
      </c>
      <c r="B984" s="6" t="s">
        <v>6350</v>
      </c>
      <c r="C984" s="7">
        <v>1210</v>
      </c>
      <c r="D984" s="8" t="s">
        <v>6351</v>
      </c>
      <c r="E984" s="8" t="s">
        <v>6352</v>
      </c>
      <c r="F984" s="8" t="s">
        <v>4885</v>
      </c>
      <c r="G984" s="6" t="s">
        <v>66</v>
      </c>
      <c r="H984" s="6" t="s">
        <v>283</v>
      </c>
      <c r="I984" s="8" t="s">
        <v>39</v>
      </c>
      <c r="J984" s="9">
        <v>1</v>
      </c>
      <c r="K984" s="9">
        <v>256</v>
      </c>
      <c r="L984" s="9">
        <v>2024</v>
      </c>
      <c r="M984" s="8" t="s">
        <v>6353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6354</v>
      </c>
      <c r="S984" s="11" t="s">
        <v>6349</v>
      </c>
      <c r="T984" s="6"/>
      <c r="U984" s="28" t="str">
        <f>HYPERLINK("https://media.infra-m.ru/2149/2149614/cover/2149614.jpg", "Обложка")</f>
        <v>Обложка</v>
      </c>
      <c r="V984" s="28" t="str">
        <f>HYPERLINK("https://znanium.ru/catalog/product/2149614", "Ознакомиться")</f>
        <v>Ознакомиться</v>
      </c>
      <c r="W984" s="8" t="s">
        <v>287</v>
      </c>
      <c r="X984" s="6"/>
      <c r="Y984" s="6"/>
      <c r="Z984" s="6"/>
      <c r="AA984" s="6" t="s">
        <v>1358</v>
      </c>
    </row>
    <row r="985" spans="1:27" s="4" customFormat="1" ht="51.95" customHeight="1">
      <c r="A985" s="5">
        <v>0</v>
      </c>
      <c r="B985" s="6" t="s">
        <v>6355</v>
      </c>
      <c r="C985" s="7">
        <v>2982</v>
      </c>
      <c r="D985" s="8" t="s">
        <v>6356</v>
      </c>
      <c r="E985" s="8" t="s">
        <v>6357</v>
      </c>
      <c r="F985" s="8" t="s">
        <v>6358</v>
      </c>
      <c r="G985" s="6" t="s">
        <v>54</v>
      </c>
      <c r="H985" s="6" t="s">
        <v>283</v>
      </c>
      <c r="I985" s="8" t="s">
        <v>39</v>
      </c>
      <c r="J985" s="9">
        <v>1</v>
      </c>
      <c r="K985" s="9">
        <v>349</v>
      </c>
      <c r="L985" s="9">
        <v>2023</v>
      </c>
      <c r="M985" s="8" t="s">
        <v>6359</v>
      </c>
      <c r="N985" s="8" t="s">
        <v>41</v>
      </c>
      <c r="O985" s="8" t="s">
        <v>227</v>
      </c>
      <c r="P985" s="6" t="s">
        <v>43</v>
      </c>
      <c r="Q985" s="8" t="s">
        <v>44</v>
      </c>
      <c r="R985" s="10" t="s">
        <v>6360</v>
      </c>
      <c r="S985" s="11" t="s">
        <v>1656</v>
      </c>
      <c r="T985" s="6"/>
      <c r="U985" s="28" t="str">
        <f>HYPERLINK("https://media.infra-m.ru/2012/2012654/cover/2012654.jpg", "Обложка")</f>
        <v>Обложка</v>
      </c>
      <c r="V985" s="28" t="str">
        <f>HYPERLINK("https://znanium.ru/catalog/product/2012654", "Ознакомиться")</f>
        <v>Ознакомиться</v>
      </c>
      <c r="W985" s="8" t="s">
        <v>1913</v>
      </c>
      <c r="X985" s="6"/>
      <c r="Y985" s="6"/>
      <c r="Z985" s="6"/>
      <c r="AA985" s="6" t="s">
        <v>297</v>
      </c>
    </row>
    <row r="986" spans="1:27" s="4" customFormat="1" ht="51.95" customHeight="1">
      <c r="A986" s="5">
        <v>0</v>
      </c>
      <c r="B986" s="6" t="s">
        <v>6361</v>
      </c>
      <c r="C986" s="13">
        <v>920</v>
      </c>
      <c r="D986" s="8" t="s">
        <v>6362</v>
      </c>
      <c r="E986" s="8" t="s">
        <v>6363</v>
      </c>
      <c r="F986" s="8" t="s">
        <v>282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192</v>
      </c>
      <c r="L986" s="9">
        <v>2023</v>
      </c>
      <c r="M986" s="8" t="s">
        <v>6364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1662</v>
      </c>
      <c r="S986" s="11" t="s">
        <v>1656</v>
      </c>
      <c r="T986" s="6"/>
      <c r="U986" s="28" t="str">
        <f>HYPERLINK("https://media.infra-m.ru/1921/1921414/cover/1921414.jpg", "Обложка")</f>
        <v>Обложка</v>
      </c>
      <c r="V986" s="28" t="str">
        <f>HYPERLINK("https://znanium.ru/catalog/product/1921414", "Ознакомиться")</f>
        <v>Ознакомиться</v>
      </c>
      <c r="W986" s="8" t="s">
        <v>287</v>
      </c>
      <c r="X986" s="6"/>
      <c r="Y986" s="6"/>
      <c r="Z986" s="6"/>
      <c r="AA986" s="6" t="s">
        <v>221</v>
      </c>
    </row>
    <row r="987" spans="1:27" s="4" customFormat="1" ht="51.95" customHeight="1">
      <c r="A987" s="5">
        <v>0</v>
      </c>
      <c r="B987" s="6" t="s">
        <v>6365</v>
      </c>
      <c r="C987" s="7">
        <v>1950</v>
      </c>
      <c r="D987" s="8" t="s">
        <v>6366</v>
      </c>
      <c r="E987" s="8" t="s">
        <v>6352</v>
      </c>
      <c r="F987" s="8" t="s">
        <v>4885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432</v>
      </c>
      <c r="L987" s="9">
        <v>2023</v>
      </c>
      <c r="M987" s="8" t="s">
        <v>6367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6368</v>
      </c>
      <c r="S987" s="11" t="s">
        <v>6369</v>
      </c>
      <c r="T987" s="6"/>
      <c r="U987" s="28" t="str">
        <f>HYPERLINK("https://media.infra-m.ru/1971/1971871/cover/1971871.jpg", "Обложка")</f>
        <v>Обложка</v>
      </c>
      <c r="V987" s="28" t="str">
        <f>HYPERLINK("https://znanium.ru/catalog/product/1971871",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6370</v>
      </c>
      <c r="C988" s="13">
        <v>944</v>
      </c>
      <c r="D988" s="8" t="s">
        <v>6371</v>
      </c>
      <c r="E988" s="8" t="s">
        <v>6372</v>
      </c>
      <c r="F988" s="8" t="s">
        <v>6373</v>
      </c>
      <c r="G988" s="6" t="s">
        <v>66</v>
      </c>
      <c r="H988" s="6" t="s">
        <v>283</v>
      </c>
      <c r="I988" s="8" t="s">
        <v>39</v>
      </c>
      <c r="J988" s="9">
        <v>1</v>
      </c>
      <c r="K988" s="9">
        <v>206</v>
      </c>
      <c r="L988" s="9">
        <v>2024</v>
      </c>
      <c r="M988" s="8" t="s">
        <v>6374</v>
      </c>
      <c r="N988" s="8" t="s">
        <v>41</v>
      </c>
      <c r="O988" s="8" t="s">
        <v>42</v>
      </c>
      <c r="P988" s="6" t="s">
        <v>43</v>
      </c>
      <c r="Q988" s="8" t="s">
        <v>44</v>
      </c>
      <c r="R988" s="10" t="s">
        <v>5289</v>
      </c>
      <c r="S988" s="11" t="s">
        <v>847</v>
      </c>
      <c r="T988" s="6"/>
      <c r="U988" s="28" t="str">
        <f>HYPERLINK("https://media.infra-m.ru/2126/2126769/cover/2126769.jpg", "Обложка")</f>
        <v>Обложка</v>
      </c>
      <c r="V988" s="28" t="str">
        <f>HYPERLINK("https://znanium.ru/catalog/product/1189950", "Ознакомиться")</f>
        <v>Ознакомиться</v>
      </c>
      <c r="W988" s="8" t="s">
        <v>726</v>
      </c>
      <c r="X988" s="6"/>
      <c r="Y988" s="6"/>
      <c r="Z988" s="6" t="s">
        <v>687</v>
      </c>
      <c r="AA988" s="6" t="s">
        <v>94</v>
      </c>
    </row>
    <row r="989" spans="1:27" s="4" customFormat="1" ht="51.95" customHeight="1">
      <c r="A989" s="5">
        <v>0</v>
      </c>
      <c r="B989" s="6" t="s">
        <v>6375</v>
      </c>
      <c r="C989" s="7">
        <v>1370</v>
      </c>
      <c r="D989" s="8" t="s">
        <v>6376</v>
      </c>
      <c r="E989" s="8" t="s">
        <v>6377</v>
      </c>
      <c r="F989" s="8" t="s">
        <v>6378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281</v>
      </c>
      <c r="L989" s="9">
        <v>2024</v>
      </c>
      <c r="M989" s="8" t="s">
        <v>6379</v>
      </c>
      <c r="N989" s="8" t="s">
        <v>1171</v>
      </c>
      <c r="O989" s="8" t="s">
        <v>1172</v>
      </c>
      <c r="P989" s="6" t="s">
        <v>70</v>
      </c>
      <c r="Q989" s="8" t="s">
        <v>44</v>
      </c>
      <c r="R989" s="10" t="s">
        <v>1302</v>
      </c>
      <c r="S989" s="11" t="s">
        <v>6380</v>
      </c>
      <c r="T989" s="6"/>
      <c r="U989" s="28" t="str">
        <f>HYPERLINK("https://media.infra-m.ru/2134/2134060/cover/2134060.jpg", "Обложка")</f>
        <v>Обложка</v>
      </c>
      <c r="V989" s="28" t="str">
        <f>HYPERLINK("https://znanium.ru/catalog/product/2134060", "Ознакомиться")</f>
        <v>Ознакомиться</v>
      </c>
      <c r="W989" s="8" t="s">
        <v>1971</v>
      </c>
      <c r="X989" s="6"/>
      <c r="Y989" s="6"/>
      <c r="Z989" s="6" t="s">
        <v>48</v>
      </c>
      <c r="AA989" s="6" t="s">
        <v>348</v>
      </c>
    </row>
    <row r="990" spans="1:27" s="4" customFormat="1" ht="51.95" customHeight="1">
      <c r="A990" s="5">
        <v>0</v>
      </c>
      <c r="B990" s="6" t="s">
        <v>6381</v>
      </c>
      <c r="C990" s="7">
        <v>1100</v>
      </c>
      <c r="D990" s="8" t="s">
        <v>6382</v>
      </c>
      <c r="E990" s="8" t="s">
        <v>6383</v>
      </c>
      <c r="F990" s="8" t="s">
        <v>2009</v>
      </c>
      <c r="G990" s="6" t="s">
        <v>66</v>
      </c>
      <c r="H990" s="6" t="s">
        <v>79</v>
      </c>
      <c r="I990" s="8" t="s">
        <v>39</v>
      </c>
      <c r="J990" s="9">
        <v>1</v>
      </c>
      <c r="K990" s="9">
        <v>238</v>
      </c>
      <c r="L990" s="9">
        <v>2024</v>
      </c>
      <c r="M990" s="8" t="s">
        <v>6384</v>
      </c>
      <c r="N990" s="8" t="s">
        <v>118</v>
      </c>
      <c r="O990" s="8" t="s">
        <v>119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HYPERLINK("https://media.infra-m.ru/2083/2083342/cover/2083342.jpg", "Обложка")</f>
        <v>Обложка</v>
      </c>
      <c r="V990" s="28" t="str">
        <f>HYPERLINK("https://znanium.ru/catalog/product/2083342", "Ознакомиться")</f>
        <v>Ознакомиться</v>
      </c>
      <c r="W990" s="8" t="s">
        <v>2013</v>
      </c>
      <c r="X990" s="6"/>
      <c r="Y990" s="6" t="s">
        <v>30</v>
      </c>
      <c r="Z990" s="6"/>
      <c r="AA990" s="6" t="s">
        <v>656</v>
      </c>
    </row>
    <row r="991" spans="1:27" s="4" customFormat="1" ht="42" customHeight="1">
      <c r="A991" s="5">
        <v>0</v>
      </c>
      <c r="B991" s="6" t="s">
        <v>6387</v>
      </c>
      <c r="C991" s="7">
        <v>1020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716</v>
      </c>
      <c r="I991" s="8"/>
      <c r="J991" s="9">
        <v>1</v>
      </c>
      <c r="K991" s="9">
        <v>218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70</v>
      </c>
      <c r="Q991" s="8" t="s">
        <v>44</v>
      </c>
      <c r="R991" s="10" t="s">
        <v>6392</v>
      </c>
      <c r="S991" s="11"/>
      <c r="T991" s="6"/>
      <c r="U991" s="28" t="str">
        <f>HYPERLINK("https://media.infra-m.ru/2145/2145819/cover/2145819.jpg", "Обложка")</f>
        <v>Обложка</v>
      </c>
      <c r="V991" s="28" t="str">
        <f>HYPERLINK("https://znanium.ru/catalog/product/2035597", "Ознакомиться")</f>
        <v>Ознакомиться</v>
      </c>
      <c r="W991" s="8" t="s">
        <v>4039</v>
      </c>
      <c r="X991" s="6"/>
      <c r="Y991" s="6" t="s">
        <v>30</v>
      </c>
      <c r="Z991" s="6"/>
      <c r="AA991" s="6" t="s">
        <v>671</v>
      </c>
    </row>
    <row r="992" spans="1:27" s="4" customFormat="1" ht="51.95" customHeight="1">
      <c r="A992" s="5">
        <v>0</v>
      </c>
      <c r="B992" s="6" t="s">
        <v>6393</v>
      </c>
      <c r="C992" s="7">
        <v>1120</v>
      </c>
      <c r="D992" s="8" t="s">
        <v>6394</v>
      </c>
      <c r="E992" s="8" t="s">
        <v>6395</v>
      </c>
      <c r="F992" s="8" t="s">
        <v>6396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271</v>
      </c>
      <c r="L992" s="9">
        <v>2022</v>
      </c>
      <c r="M992" s="8" t="s">
        <v>6397</v>
      </c>
      <c r="N992" s="8" t="s">
        <v>41</v>
      </c>
      <c r="O992" s="8" t="s">
        <v>160</v>
      </c>
      <c r="P992" s="6" t="s">
        <v>43</v>
      </c>
      <c r="Q992" s="8" t="s">
        <v>44</v>
      </c>
      <c r="R992" s="10" t="s">
        <v>202</v>
      </c>
      <c r="S992" s="11" t="s">
        <v>6398</v>
      </c>
      <c r="T992" s="6"/>
      <c r="U992" s="28" t="str">
        <f>HYPERLINK("https://media.infra-m.ru/1037/1037188/cover/1037188.jpg", "Обложка")</f>
        <v>Обложка</v>
      </c>
      <c r="V992" s="28" t="str">
        <f>HYPERLINK("https://znanium.ru/catalog/product/1037188", "Ознакомиться")</f>
        <v>Ознакомиться</v>
      </c>
      <c r="W992" s="8" t="s">
        <v>756</v>
      </c>
      <c r="X992" s="6"/>
      <c r="Y992" s="6"/>
      <c r="Z992" s="6"/>
      <c r="AA992" s="6" t="s">
        <v>475</v>
      </c>
    </row>
    <row r="993" spans="1:27" s="4" customFormat="1" ht="51.95" customHeight="1">
      <c r="A993" s="5">
        <v>0</v>
      </c>
      <c r="B993" s="6" t="s">
        <v>6399</v>
      </c>
      <c r="C993" s="13">
        <v>794.9</v>
      </c>
      <c r="D993" s="8" t="s">
        <v>6400</v>
      </c>
      <c r="E993" s="8" t="s">
        <v>6401</v>
      </c>
      <c r="F993" s="8" t="s">
        <v>6402</v>
      </c>
      <c r="G993" s="6" t="s">
        <v>66</v>
      </c>
      <c r="H993" s="6" t="s">
        <v>38</v>
      </c>
      <c r="I993" s="8" t="s">
        <v>39</v>
      </c>
      <c r="J993" s="9">
        <v>1</v>
      </c>
      <c r="K993" s="9">
        <v>176</v>
      </c>
      <c r="L993" s="9">
        <v>2023</v>
      </c>
      <c r="M993" s="8" t="s">
        <v>6403</v>
      </c>
      <c r="N993" s="8" t="s">
        <v>41</v>
      </c>
      <c r="O993" s="8" t="s">
        <v>303</v>
      </c>
      <c r="P993" s="6" t="s">
        <v>43</v>
      </c>
      <c r="Q993" s="8" t="s">
        <v>44</v>
      </c>
      <c r="R993" s="10" t="s">
        <v>6404</v>
      </c>
      <c r="S993" s="11" t="s">
        <v>6405</v>
      </c>
      <c r="T993" s="6"/>
      <c r="U993" s="28" t="str">
        <f>HYPERLINK("https://media.infra-m.ru/2045/2045973/cover/2045973.jpg", "Обложка")</f>
        <v>Обложка</v>
      </c>
      <c r="V993" s="28" t="str">
        <f>HYPERLINK("https://znanium.ru/catalog/product/1096018", "Ознакомиться")</f>
        <v>Ознакомиться</v>
      </c>
      <c r="W993" s="8" t="s">
        <v>391</v>
      </c>
      <c r="X993" s="6"/>
      <c r="Y993" s="6"/>
      <c r="Z993" s="6" t="s">
        <v>48</v>
      </c>
      <c r="AA993" s="6" t="s">
        <v>656</v>
      </c>
    </row>
    <row r="994" spans="1:27" s="4" customFormat="1" ht="51.95" customHeight="1">
      <c r="A994" s="5">
        <v>0</v>
      </c>
      <c r="B994" s="6" t="s">
        <v>6406</v>
      </c>
      <c r="C994" s="7">
        <v>1590</v>
      </c>
      <c r="D994" s="8" t="s">
        <v>6407</v>
      </c>
      <c r="E994" s="8" t="s">
        <v>6408</v>
      </c>
      <c r="F994" s="8" t="s">
        <v>6409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346</v>
      </c>
      <c r="L994" s="9">
        <v>2024</v>
      </c>
      <c r="M994" s="8" t="s">
        <v>6410</v>
      </c>
      <c r="N994" s="8" t="s">
        <v>41</v>
      </c>
      <c r="O994" s="8" t="s">
        <v>160</v>
      </c>
      <c r="P994" s="6" t="s">
        <v>43</v>
      </c>
      <c r="Q994" s="8" t="s">
        <v>44</v>
      </c>
      <c r="R994" s="10" t="s">
        <v>6411</v>
      </c>
      <c r="S994" s="11" t="s">
        <v>6412</v>
      </c>
      <c r="T994" s="6" t="s">
        <v>110</v>
      </c>
      <c r="U994" s="28" t="str">
        <f>HYPERLINK("https://media.infra-m.ru/2103/2103200/cover/2103200.jpg", "Обложка")</f>
        <v>Обложка</v>
      </c>
      <c r="V994" s="28" t="str">
        <f>HYPERLINK("https://znanium.ru/catalog/product/2103200", "Ознакомиться")</f>
        <v>Ознакомиться</v>
      </c>
      <c r="W994" s="8" t="s">
        <v>277</v>
      </c>
      <c r="X994" s="6"/>
      <c r="Y994" s="6"/>
      <c r="Z994" s="6" t="s">
        <v>48</v>
      </c>
      <c r="AA994" s="6" t="s">
        <v>656</v>
      </c>
    </row>
    <row r="995" spans="1:27" s="4" customFormat="1" ht="51.95" customHeight="1">
      <c r="A995" s="5">
        <v>0</v>
      </c>
      <c r="B995" s="6" t="s">
        <v>6413</v>
      </c>
      <c r="C995" s="13">
        <v>840</v>
      </c>
      <c r="D995" s="8" t="s">
        <v>6414</v>
      </c>
      <c r="E995" s="8" t="s">
        <v>6415</v>
      </c>
      <c r="F995" s="8" t="s">
        <v>6416</v>
      </c>
      <c r="G995" s="6" t="s">
        <v>66</v>
      </c>
      <c r="H995" s="6" t="s">
        <v>79</v>
      </c>
      <c r="I995" s="8" t="s">
        <v>4636</v>
      </c>
      <c r="J995" s="9">
        <v>1</v>
      </c>
      <c r="K995" s="9">
        <v>171</v>
      </c>
      <c r="L995" s="9">
        <v>2024</v>
      </c>
      <c r="M995" s="8" t="s">
        <v>6417</v>
      </c>
      <c r="N995" s="8" t="s">
        <v>41</v>
      </c>
      <c r="O995" s="8" t="s">
        <v>227</v>
      </c>
      <c r="P995" s="6" t="s">
        <v>43</v>
      </c>
      <c r="Q995" s="8" t="s">
        <v>44</v>
      </c>
      <c r="R995" s="10" t="s">
        <v>6418</v>
      </c>
      <c r="S995" s="11" t="s">
        <v>6419</v>
      </c>
      <c r="T995" s="6"/>
      <c r="U995" s="28" t="str">
        <f>HYPERLINK("https://media.infra-m.ru/2141/2141853/cover/2141853.jpg", "Обложка")</f>
        <v>Обложка</v>
      </c>
      <c r="V995" s="12"/>
      <c r="W995" s="8" t="s">
        <v>2599</v>
      </c>
      <c r="X995" s="6"/>
      <c r="Y995" s="6"/>
      <c r="Z995" s="6" t="s">
        <v>48</v>
      </c>
      <c r="AA995" s="6" t="s">
        <v>94</v>
      </c>
    </row>
    <row r="996" spans="1:27" s="4" customFormat="1" ht="51.95" customHeight="1">
      <c r="A996" s="5">
        <v>0</v>
      </c>
      <c r="B996" s="6" t="s">
        <v>6420</v>
      </c>
      <c r="C996" s="13">
        <v>794</v>
      </c>
      <c r="D996" s="8" t="s">
        <v>6421</v>
      </c>
      <c r="E996" s="8" t="s">
        <v>6422</v>
      </c>
      <c r="F996" s="8" t="s">
        <v>6416</v>
      </c>
      <c r="G996" s="6" t="s">
        <v>66</v>
      </c>
      <c r="H996" s="6" t="s">
        <v>79</v>
      </c>
      <c r="I996" s="8" t="s">
        <v>4636</v>
      </c>
      <c r="J996" s="9">
        <v>1</v>
      </c>
      <c r="K996" s="9">
        <v>168</v>
      </c>
      <c r="L996" s="9">
        <v>2024</v>
      </c>
      <c r="M996" s="8" t="s">
        <v>6423</v>
      </c>
      <c r="N996" s="8" t="s">
        <v>41</v>
      </c>
      <c r="O996" s="8" t="s">
        <v>227</v>
      </c>
      <c r="P996" s="6" t="s">
        <v>43</v>
      </c>
      <c r="Q996" s="8" t="s">
        <v>44</v>
      </c>
      <c r="R996" s="10" t="s">
        <v>6418</v>
      </c>
      <c r="S996" s="11" t="s">
        <v>6419</v>
      </c>
      <c r="T996" s="6"/>
      <c r="U996" s="28" t="str">
        <f>HYPERLINK("https://media.infra-m.ru/2141/2141854/cover/2141854.jpg", "Обложка")</f>
        <v>Обложка</v>
      </c>
      <c r="V996" s="12"/>
      <c r="W996" s="8" t="s">
        <v>2599</v>
      </c>
      <c r="X996" s="6"/>
      <c r="Y996" s="6"/>
      <c r="Z996" s="6" t="s">
        <v>48</v>
      </c>
      <c r="AA996" s="6" t="s">
        <v>94</v>
      </c>
    </row>
    <row r="997" spans="1:27" s="4" customFormat="1" ht="51.95" customHeight="1">
      <c r="A997" s="5">
        <v>0</v>
      </c>
      <c r="B997" s="6" t="s">
        <v>6424</v>
      </c>
      <c r="C997" s="7">
        <v>2360</v>
      </c>
      <c r="D997" s="8" t="s">
        <v>6425</v>
      </c>
      <c r="E997" s="8" t="s">
        <v>6426</v>
      </c>
      <c r="F997" s="8" t="s">
        <v>5986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512</v>
      </c>
      <c r="L997" s="9">
        <v>2023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6429</v>
      </c>
      <c r="T997" s="6"/>
      <c r="U997" s="28" t="str">
        <f>HYPERLINK("https://media.infra-m.ru/2076/2076813/cover/2076813.jpg", "Обложка")</f>
        <v>Обложка</v>
      </c>
      <c r="V997" s="28" t="str">
        <f>HYPERLINK("https://znanium.ru/catalog/product/1288990", "Ознакомиться")</f>
        <v>Ознакомиться</v>
      </c>
      <c r="W997" s="8" t="s">
        <v>163</v>
      </c>
      <c r="X997" s="6"/>
      <c r="Y997" s="6"/>
      <c r="Z997" s="6"/>
      <c r="AA997" s="6" t="s">
        <v>861</v>
      </c>
    </row>
    <row r="998" spans="1:27" s="4" customFormat="1" ht="51.95" customHeight="1">
      <c r="A998" s="5">
        <v>0</v>
      </c>
      <c r="B998" s="6" t="s">
        <v>6430</v>
      </c>
      <c r="C998" s="13">
        <v>464.9</v>
      </c>
      <c r="D998" s="8" t="s">
        <v>6431</v>
      </c>
      <c r="E998" s="8" t="s">
        <v>6432</v>
      </c>
      <c r="F998" s="8" t="s">
        <v>4866</v>
      </c>
      <c r="G998" s="6" t="s">
        <v>54</v>
      </c>
      <c r="H998" s="6" t="s">
        <v>283</v>
      </c>
      <c r="I998" s="8" t="s">
        <v>39</v>
      </c>
      <c r="J998" s="9">
        <v>1</v>
      </c>
      <c r="K998" s="9">
        <v>104</v>
      </c>
      <c r="L998" s="9">
        <v>2023</v>
      </c>
      <c r="M998" s="8" t="s">
        <v>6433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3999</v>
      </c>
      <c r="S998" s="11" t="s">
        <v>6434</v>
      </c>
      <c r="T998" s="6"/>
      <c r="U998" s="28" t="str">
        <f>HYPERLINK("https://media.infra-m.ru/1911/1911185/cover/1911185.jpg", "Обложка")</f>
        <v>Обложка</v>
      </c>
      <c r="V998" s="28" t="str">
        <f>HYPERLINK("https://znanium.ru/catalog/product/1168662", "Ознакомиться")</f>
        <v>Ознакомиться</v>
      </c>
      <c r="W998" s="8" t="s">
        <v>4870</v>
      </c>
      <c r="X998" s="6"/>
      <c r="Y998" s="6"/>
      <c r="Z998" s="6"/>
      <c r="AA998" s="6" t="s">
        <v>138</v>
      </c>
    </row>
    <row r="999" spans="1:27" s="4" customFormat="1" ht="51.95" customHeight="1">
      <c r="A999" s="5">
        <v>0</v>
      </c>
      <c r="B999" s="6" t="s">
        <v>6435</v>
      </c>
      <c r="C999" s="7">
        <v>2200</v>
      </c>
      <c r="D999" s="8" t="s">
        <v>6436</v>
      </c>
      <c r="E999" s="8" t="s">
        <v>6437</v>
      </c>
      <c r="F999" s="8" t="s">
        <v>6438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469</v>
      </c>
      <c r="L999" s="9">
        <v>2024</v>
      </c>
      <c r="M999" s="8" t="s">
        <v>6439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6440</v>
      </c>
      <c r="S999" s="11" t="s">
        <v>6441</v>
      </c>
      <c r="T999" s="6"/>
      <c r="U999" s="28" t="str">
        <f>HYPERLINK("https://media.infra-m.ru/2147/2147288/cover/2147288.jpg", "Обложка")</f>
        <v>Обложка</v>
      </c>
      <c r="V999" s="28" t="str">
        <f>HYPERLINK("https://znanium.ru/catalog/product/2147288", "Ознакомиться")</f>
        <v>Ознакомиться</v>
      </c>
      <c r="W999" s="8" t="s">
        <v>4870</v>
      </c>
      <c r="X999" s="6"/>
      <c r="Y999" s="6"/>
      <c r="Z999" s="6"/>
      <c r="AA999" s="6" t="s">
        <v>2568</v>
      </c>
    </row>
    <row r="1000" spans="1:27" s="4" customFormat="1" ht="51.95" customHeight="1">
      <c r="A1000" s="5">
        <v>0</v>
      </c>
      <c r="B1000" s="6" t="s">
        <v>6442</v>
      </c>
      <c r="C1000" s="7">
        <v>1654.9</v>
      </c>
      <c r="D1000" s="8" t="s">
        <v>6443</v>
      </c>
      <c r="E1000" s="8" t="s">
        <v>6444</v>
      </c>
      <c r="F1000" s="8" t="s">
        <v>5986</v>
      </c>
      <c r="G1000" s="6" t="s">
        <v>37</v>
      </c>
      <c r="H1000" s="6" t="s">
        <v>38</v>
      </c>
      <c r="I1000" s="8" t="s">
        <v>56</v>
      </c>
      <c r="J1000" s="9">
        <v>1</v>
      </c>
      <c r="K1000" s="9">
        <v>448</v>
      </c>
      <c r="L1000" s="9">
        <v>2021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6428</v>
      </c>
      <c r="S1000" s="11" t="s">
        <v>6429</v>
      </c>
      <c r="T1000" s="6"/>
      <c r="U1000" s="28" t="str">
        <f>HYPERLINK("https://media.infra-m.ru/1288/1288990/cover/1288990.jpg",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4513</v>
      </c>
    </row>
    <row r="1001" spans="1:27" s="4" customFormat="1" ht="51.95" customHeight="1">
      <c r="A1001" s="5">
        <v>0</v>
      </c>
      <c r="B1001" s="6" t="s">
        <v>6446</v>
      </c>
      <c r="C1001" s="7">
        <v>1640</v>
      </c>
      <c r="D1001" s="8" t="s">
        <v>6447</v>
      </c>
      <c r="E1001" s="8" t="s">
        <v>6448</v>
      </c>
      <c r="F1001" s="8" t="s">
        <v>6438</v>
      </c>
      <c r="G1001" s="6" t="s">
        <v>66</v>
      </c>
      <c r="H1001" s="6" t="s">
        <v>283</v>
      </c>
      <c r="I1001" s="8" t="s">
        <v>39</v>
      </c>
      <c r="J1001" s="9">
        <v>1</v>
      </c>
      <c r="K1001" s="9">
        <v>480</v>
      </c>
      <c r="L1001" s="9">
        <v>2019</v>
      </c>
      <c r="M1001" s="8" t="s">
        <v>6449</v>
      </c>
      <c r="N1001" s="8" t="s">
        <v>41</v>
      </c>
      <c r="O1001" s="8" t="s">
        <v>160</v>
      </c>
      <c r="P1001" s="6" t="s">
        <v>70</v>
      </c>
      <c r="Q1001" s="8" t="s">
        <v>44</v>
      </c>
      <c r="R1001" s="10" t="s">
        <v>6440</v>
      </c>
      <c r="S1001" s="11" t="s">
        <v>6441</v>
      </c>
      <c r="T1001" s="6"/>
      <c r="U1001" s="28" t="str">
        <f>HYPERLINK("https://media.infra-m.ru/1003/1003603/cover/1003603.jpg", "Обложка")</f>
        <v>Обложка</v>
      </c>
      <c r="V1001" s="28" t="str">
        <f>HYPERLINK("https://znanium.ru/catalog/product/2147288", "Ознакомиться")</f>
        <v>Ознакомиться</v>
      </c>
      <c r="W1001" s="8" t="s">
        <v>4870</v>
      </c>
      <c r="X1001" s="6"/>
      <c r="Y1001" s="6"/>
      <c r="Z1001" s="6"/>
      <c r="AA1001" s="6" t="s">
        <v>4513</v>
      </c>
    </row>
    <row r="1002" spans="1:27" s="4" customFormat="1" ht="51.95" customHeight="1">
      <c r="A1002" s="5">
        <v>0</v>
      </c>
      <c r="B1002" s="6" t="s">
        <v>6450</v>
      </c>
      <c r="C1002" s="7">
        <v>1120</v>
      </c>
      <c r="D1002" s="8" t="s">
        <v>6451</v>
      </c>
      <c r="E1002" s="8" t="s">
        <v>6452</v>
      </c>
      <c r="F1002" s="8" t="s">
        <v>6453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238</v>
      </c>
      <c r="L1002" s="9">
        <v>2024</v>
      </c>
      <c r="M1002" s="8" t="s">
        <v>6454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6455</v>
      </c>
      <c r="S1002" s="11" t="s">
        <v>1000</v>
      </c>
      <c r="T1002" s="6"/>
      <c r="U1002" s="28" t="str">
        <f>HYPERLINK("https://media.infra-m.ru/2131/2131730/cover/2131730.jpg", "Обложка")</f>
        <v>Обложка</v>
      </c>
      <c r="V1002" s="28" t="str">
        <f>HYPERLINK("https://znanium.ru/catalog/product/2131730", "Ознакомиться")</f>
        <v>Ознакомиться</v>
      </c>
      <c r="W1002" s="8" t="s">
        <v>172</v>
      </c>
      <c r="X1002" s="6"/>
      <c r="Y1002" s="6"/>
      <c r="Z1002" s="6"/>
      <c r="AA1002" s="6" t="s">
        <v>872</v>
      </c>
    </row>
    <row r="1003" spans="1:27" s="4" customFormat="1" ht="51.95" customHeight="1">
      <c r="A1003" s="5">
        <v>0</v>
      </c>
      <c r="B1003" s="6" t="s">
        <v>6456</v>
      </c>
      <c r="C1003" s="7">
        <v>1460</v>
      </c>
      <c r="D1003" s="8" t="s">
        <v>6457</v>
      </c>
      <c r="E1003" s="8" t="s">
        <v>6458</v>
      </c>
      <c r="F1003" s="8" t="s">
        <v>1081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307</v>
      </c>
      <c r="L1003" s="9">
        <v>2024</v>
      </c>
      <c r="M1003" s="8" t="s">
        <v>6459</v>
      </c>
      <c r="N1003" s="8" t="s">
        <v>118</v>
      </c>
      <c r="O1003" s="8" t="s">
        <v>119</v>
      </c>
      <c r="P1003" s="6" t="s">
        <v>43</v>
      </c>
      <c r="Q1003" s="8" t="s">
        <v>44</v>
      </c>
      <c r="R1003" s="10" t="s">
        <v>768</v>
      </c>
      <c r="S1003" s="11" t="s">
        <v>6460</v>
      </c>
      <c r="T1003" s="6"/>
      <c r="U1003" s="28" t="str">
        <f>HYPERLINK("https://media.infra-m.ru/2132/2132389/cover/2132389.jpg", "Обложка")</f>
        <v>Обложка</v>
      </c>
      <c r="V1003" s="28" t="str">
        <f>HYPERLINK("https://znanium.ru/catalog/product/2132389", "Ознакомиться")</f>
        <v>Ознакомиться</v>
      </c>
      <c r="W1003" s="8" t="s">
        <v>1084</v>
      </c>
      <c r="X1003" s="6"/>
      <c r="Y1003" s="6"/>
      <c r="Z1003" s="6"/>
      <c r="AA1003" s="6" t="s">
        <v>524</v>
      </c>
    </row>
    <row r="1004" spans="1:27" s="4" customFormat="1" ht="51.95" customHeight="1">
      <c r="A1004" s="5">
        <v>0</v>
      </c>
      <c r="B1004" s="6" t="s">
        <v>6461</v>
      </c>
      <c r="C1004" s="7">
        <v>1494</v>
      </c>
      <c r="D1004" s="8" t="s">
        <v>6462</v>
      </c>
      <c r="E1004" s="8" t="s">
        <v>6463</v>
      </c>
      <c r="F1004" s="8" t="s">
        <v>6296</v>
      </c>
      <c r="G1004" s="6" t="s">
        <v>37</v>
      </c>
      <c r="H1004" s="6" t="s">
        <v>79</v>
      </c>
      <c r="I1004" s="8" t="s">
        <v>39</v>
      </c>
      <c r="J1004" s="9">
        <v>1</v>
      </c>
      <c r="K1004" s="9">
        <v>329</v>
      </c>
      <c r="L1004" s="9">
        <v>2023</v>
      </c>
      <c r="M1004" s="8" t="s">
        <v>6464</v>
      </c>
      <c r="N1004" s="8" t="s">
        <v>41</v>
      </c>
      <c r="O1004" s="8" t="s">
        <v>178</v>
      </c>
      <c r="P1004" s="6" t="s">
        <v>43</v>
      </c>
      <c r="Q1004" s="8" t="s">
        <v>44</v>
      </c>
      <c r="R1004" s="10" t="s">
        <v>6465</v>
      </c>
      <c r="S1004" s="11" t="s">
        <v>6466</v>
      </c>
      <c r="T1004" s="6"/>
      <c r="U1004" s="28" t="str">
        <f>HYPERLINK("https://media.infra-m.ru/2045/2045840/cover/2045840.jpg", "Обложка")</f>
        <v>Обложка</v>
      </c>
      <c r="V1004" s="28" t="str">
        <f>HYPERLINK("https://znanium.ru/catalog/product/1031285", "Ознакомиться")</f>
        <v>Ознакомиться</v>
      </c>
      <c r="W1004" s="8" t="s">
        <v>1225</v>
      </c>
      <c r="X1004" s="6"/>
      <c r="Y1004" s="6"/>
      <c r="Z1004" s="6" t="s">
        <v>48</v>
      </c>
      <c r="AA1004" s="6" t="s">
        <v>94</v>
      </c>
    </row>
    <row r="1005" spans="1:27" s="4" customFormat="1" ht="51.95" customHeight="1">
      <c r="A1005" s="5">
        <v>0</v>
      </c>
      <c r="B1005" s="6" t="s">
        <v>6467</v>
      </c>
      <c r="C1005" s="7">
        <v>1484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316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1771</v>
      </c>
      <c r="S1005" s="11" t="s">
        <v>6472</v>
      </c>
      <c r="T1005" s="6"/>
      <c r="U1005" s="28" t="str">
        <f>HYPERLINK("https://media.infra-m.ru/2137/2137644/cover/2137644.jpg", "Обложка")</f>
        <v>Обложка</v>
      </c>
      <c r="V1005" s="28" t="str">
        <f>HYPERLINK("https://znanium.ru/catalog/product/1864128", "Ознакомиться")</f>
        <v>Ознакомиться</v>
      </c>
      <c r="W1005" s="8" t="s">
        <v>1773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6473</v>
      </c>
      <c r="C1006" s="13">
        <v>830</v>
      </c>
      <c r="D1006" s="8" t="s">
        <v>6474</v>
      </c>
      <c r="E1006" s="8" t="s">
        <v>6475</v>
      </c>
      <c r="F1006" s="8" t="s">
        <v>6476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176</v>
      </c>
      <c r="L1006" s="9">
        <v>2023</v>
      </c>
      <c r="M1006" s="8" t="s">
        <v>6477</v>
      </c>
      <c r="N1006" s="8" t="s">
        <v>118</v>
      </c>
      <c r="O1006" s="8" t="s">
        <v>403</v>
      </c>
      <c r="P1006" s="6" t="s">
        <v>70</v>
      </c>
      <c r="Q1006" s="8" t="s">
        <v>44</v>
      </c>
      <c r="R1006" s="10" t="s">
        <v>905</v>
      </c>
      <c r="S1006" s="11" t="s">
        <v>6478</v>
      </c>
      <c r="T1006" s="6"/>
      <c r="U1006" s="28" t="str">
        <f>HYPERLINK("https://media.infra-m.ru/1903/1903875/cover/1903875.jpg", "Обложка")</f>
        <v>Обложка</v>
      </c>
      <c r="V1006" s="28" t="str">
        <f>HYPERLINK("https://znanium.ru/catalog/product/1903875", "Ознакомиться")</f>
        <v>Ознакомиться</v>
      </c>
      <c r="W1006" s="8" t="s">
        <v>6479</v>
      </c>
      <c r="X1006" s="6"/>
      <c r="Y1006" s="6"/>
      <c r="Z1006" s="6" t="s">
        <v>48</v>
      </c>
      <c r="AA1006" s="6" t="s">
        <v>213</v>
      </c>
    </row>
    <row r="1007" spans="1:27" s="4" customFormat="1" ht="51.95" customHeight="1">
      <c r="A1007" s="5">
        <v>0</v>
      </c>
      <c r="B1007" s="6" t="s">
        <v>6480</v>
      </c>
      <c r="C1007" s="13">
        <v>924</v>
      </c>
      <c r="D1007" s="8" t="s">
        <v>6481</v>
      </c>
      <c r="E1007" s="8" t="s">
        <v>6482</v>
      </c>
      <c r="F1007" s="8" t="s">
        <v>6296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200</v>
      </c>
      <c r="L1007" s="9">
        <v>2024</v>
      </c>
      <c r="M1007" s="8" t="s">
        <v>6483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3647</v>
      </c>
      <c r="S1007" s="11" t="s">
        <v>6484</v>
      </c>
      <c r="T1007" s="6"/>
      <c r="U1007" s="28" t="str">
        <f>HYPERLINK("https://media.infra-m.ru/2045/2045842/cover/2045842.jpg", "Обложка")</f>
        <v>Обложка</v>
      </c>
      <c r="V1007" s="28" t="str">
        <f>HYPERLINK("https://znanium.ru/catalog/product/1031324",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656</v>
      </c>
    </row>
    <row r="1008" spans="1:27" s="4" customFormat="1" ht="51.95" customHeight="1">
      <c r="A1008" s="5">
        <v>0</v>
      </c>
      <c r="B1008" s="6" t="s">
        <v>6485</v>
      </c>
      <c r="C1008" s="7">
        <v>2520</v>
      </c>
      <c r="D1008" s="8" t="s">
        <v>6486</v>
      </c>
      <c r="E1008" s="8" t="s">
        <v>6487</v>
      </c>
      <c r="F1008" s="8" t="s">
        <v>3852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536</v>
      </c>
      <c r="L1008" s="9">
        <v>2024</v>
      </c>
      <c r="M1008" s="8" t="s">
        <v>6488</v>
      </c>
      <c r="N1008" s="8" t="s">
        <v>118</v>
      </c>
      <c r="O1008" s="8" t="s">
        <v>119</v>
      </c>
      <c r="P1008" s="6" t="s">
        <v>70</v>
      </c>
      <c r="Q1008" s="8" t="s">
        <v>44</v>
      </c>
      <c r="R1008" s="10" t="s">
        <v>6489</v>
      </c>
      <c r="S1008" s="11" t="s">
        <v>6490</v>
      </c>
      <c r="T1008" s="6"/>
      <c r="U1008" s="28" t="str">
        <f>HYPERLINK("https://media.infra-m.ru/2149/2149693/cover/2149693.jpg", "Обложка")</f>
        <v>Обложка</v>
      </c>
      <c r="V1008" s="28" t="str">
        <f>HYPERLINK("https://znanium.ru/catalog/product/2149693", "Ознакомиться")</f>
        <v>Ознакомиться</v>
      </c>
      <c r="W1008" s="8" t="s">
        <v>3855</v>
      </c>
      <c r="X1008" s="6"/>
      <c r="Y1008" s="6"/>
      <c r="Z1008" s="6" t="s">
        <v>48</v>
      </c>
      <c r="AA1008" s="6" t="s">
        <v>213</v>
      </c>
    </row>
    <row r="1009" spans="1:27" s="4" customFormat="1" ht="44.1" customHeight="1">
      <c r="A1009" s="5">
        <v>0</v>
      </c>
      <c r="B1009" s="6" t="s">
        <v>6491</v>
      </c>
      <c r="C1009" s="7">
        <v>1340</v>
      </c>
      <c r="D1009" s="8" t="s">
        <v>6492</v>
      </c>
      <c r="E1009" s="8" t="s">
        <v>6493</v>
      </c>
      <c r="F1009" s="8" t="s">
        <v>6296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282</v>
      </c>
      <c r="L1009" s="9">
        <v>2024</v>
      </c>
      <c r="M1009" s="8" t="s">
        <v>6494</v>
      </c>
      <c r="N1009" s="8" t="s">
        <v>41</v>
      </c>
      <c r="O1009" s="8" t="s">
        <v>178</v>
      </c>
      <c r="P1009" s="6" t="s">
        <v>43</v>
      </c>
      <c r="Q1009" s="8" t="s">
        <v>44</v>
      </c>
      <c r="R1009" s="10" t="s">
        <v>6495</v>
      </c>
      <c r="S1009" s="11"/>
      <c r="T1009" s="6"/>
      <c r="U1009" s="28" t="str">
        <f>HYPERLINK("https://media.infra-m.ru/1045/1045522/cover/1045522.jpg", "Обложка")</f>
        <v>Обложка</v>
      </c>
      <c r="V1009" s="28" t="str">
        <f>HYPERLINK("https://znanium.ru/catalog/product/1045522", "Ознакомиться")</f>
        <v>Ознакомиться</v>
      </c>
      <c r="W1009" s="8" t="s">
        <v>1225</v>
      </c>
      <c r="X1009" s="6" t="s">
        <v>576</v>
      </c>
      <c r="Y1009" s="6"/>
      <c r="Z1009" s="6"/>
      <c r="AA1009" s="6" t="s">
        <v>339</v>
      </c>
    </row>
    <row r="1010" spans="1:27" s="4" customFormat="1" ht="51.95" customHeight="1">
      <c r="A1010" s="5">
        <v>0</v>
      </c>
      <c r="B1010" s="6" t="s">
        <v>6496</v>
      </c>
      <c r="C1010" s="7">
        <v>2000</v>
      </c>
      <c r="D1010" s="8" t="s">
        <v>6497</v>
      </c>
      <c r="E1010" s="8" t="s">
        <v>6498</v>
      </c>
      <c r="F1010" s="8" t="s">
        <v>6499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443</v>
      </c>
      <c r="L1010" s="9">
        <v>2024</v>
      </c>
      <c r="M1010" s="8" t="s">
        <v>6500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6501</v>
      </c>
      <c r="S1010" s="11" t="s">
        <v>6502</v>
      </c>
      <c r="T1010" s="6" t="s">
        <v>110</v>
      </c>
      <c r="U1010" s="28" t="str">
        <f>HYPERLINK("https://media.infra-m.ru/2084/2084340/cover/2084340.jpg", "Обложка")</f>
        <v>Обложка</v>
      </c>
      <c r="V1010" s="28" t="str">
        <f>HYPERLINK("https://znanium.ru/catalog/product/2084340",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893</v>
      </c>
    </row>
    <row r="1011" spans="1:27" s="4" customFormat="1" ht="51.95" customHeight="1">
      <c r="A1011" s="5">
        <v>0</v>
      </c>
      <c r="B1011" s="6" t="s">
        <v>6503</v>
      </c>
      <c r="C1011" s="13">
        <v>964</v>
      </c>
      <c r="D1011" s="8" t="s">
        <v>6504</v>
      </c>
      <c r="E1011" s="8" t="s">
        <v>6505</v>
      </c>
      <c r="F1011" s="8" t="s">
        <v>5381</v>
      </c>
      <c r="G1011" s="6" t="s">
        <v>66</v>
      </c>
      <c r="H1011" s="6" t="s">
        <v>283</v>
      </c>
      <c r="I1011" s="8" t="s">
        <v>39</v>
      </c>
      <c r="J1011" s="9">
        <v>1</v>
      </c>
      <c r="K1011" s="9">
        <v>208</v>
      </c>
      <c r="L1011" s="9">
        <v>2024</v>
      </c>
      <c r="M1011" s="8" t="s">
        <v>6506</v>
      </c>
      <c r="N1011" s="8" t="s">
        <v>41</v>
      </c>
      <c r="O1011" s="8" t="s">
        <v>160</v>
      </c>
      <c r="P1011" s="6" t="s">
        <v>70</v>
      </c>
      <c r="Q1011" s="8" t="s">
        <v>44</v>
      </c>
      <c r="R1011" s="10" t="s">
        <v>6507</v>
      </c>
      <c r="S1011" s="11" t="s">
        <v>3311</v>
      </c>
      <c r="T1011" s="6"/>
      <c r="U1011" s="28" t="str">
        <f>HYPERLINK("https://media.infra-m.ru/2151/2151179/cover/2151179.jpg", "Обложка")</f>
        <v>Обложка</v>
      </c>
      <c r="V1011" s="28" t="str">
        <f>HYPERLINK("https://znanium.ru/catalog/product/2103196", "Ознакомиться")</f>
        <v>Ознакомиться</v>
      </c>
      <c r="W1011" s="8" t="s">
        <v>172</v>
      </c>
      <c r="X1011" s="6"/>
      <c r="Y1011" s="6"/>
      <c r="Z1011" s="6"/>
      <c r="AA1011" s="6" t="s">
        <v>587</v>
      </c>
    </row>
    <row r="1012" spans="1:27" s="4" customFormat="1" ht="51.95" customHeight="1">
      <c r="A1012" s="5">
        <v>0</v>
      </c>
      <c r="B1012" s="6" t="s">
        <v>6508</v>
      </c>
      <c r="C1012" s="7">
        <v>1610</v>
      </c>
      <c r="D1012" s="8" t="s">
        <v>6509</v>
      </c>
      <c r="E1012" s="8" t="s">
        <v>6510</v>
      </c>
      <c r="F1012" s="8" t="s">
        <v>4673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358</v>
      </c>
      <c r="L1012" s="9">
        <v>2023</v>
      </c>
      <c r="M1012" s="8" t="s">
        <v>6511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202</v>
      </c>
      <c r="S1012" s="11" t="s">
        <v>4675</v>
      </c>
      <c r="T1012" s="6"/>
      <c r="U1012" s="28" t="str">
        <f>HYPERLINK("https://media.infra-m.ru/1965/1965755/cover/1965755.jpg", "Обложка")</f>
        <v>Обложка</v>
      </c>
      <c r="V1012" s="28" t="str">
        <f>HYPERLINK("https://znanium.ru/catalog/product/1965755", "Ознакомиться")</f>
        <v>Ознакомиться</v>
      </c>
      <c r="W1012" s="8" t="s">
        <v>1225</v>
      </c>
      <c r="X1012" s="6"/>
      <c r="Y1012" s="6"/>
      <c r="Z1012" s="6" t="s">
        <v>48</v>
      </c>
      <c r="AA1012" s="6" t="s">
        <v>94</v>
      </c>
    </row>
    <row r="1013" spans="1:27" s="4" customFormat="1" ht="51.95" customHeight="1">
      <c r="A1013" s="5">
        <v>0</v>
      </c>
      <c r="B1013" s="6" t="s">
        <v>6512</v>
      </c>
      <c r="C1013" s="7">
        <v>2060</v>
      </c>
      <c r="D1013" s="8" t="s">
        <v>6513</v>
      </c>
      <c r="E1013" s="8" t="s">
        <v>6514</v>
      </c>
      <c r="F1013" s="8" t="s">
        <v>6515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445</v>
      </c>
      <c r="L1013" s="9">
        <v>2024</v>
      </c>
      <c r="M1013" s="8" t="s">
        <v>6516</v>
      </c>
      <c r="N1013" s="8" t="s">
        <v>41</v>
      </c>
      <c r="O1013" s="8" t="s">
        <v>160</v>
      </c>
      <c r="P1013" s="6" t="s">
        <v>70</v>
      </c>
      <c r="Q1013" s="8" t="s">
        <v>44</v>
      </c>
      <c r="R1013" s="10" t="s">
        <v>6517</v>
      </c>
      <c r="S1013" s="11" t="s">
        <v>6518</v>
      </c>
      <c r="T1013" s="6"/>
      <c r="U1013" s="28" t="str">
        <f>HYPERLINK("https://media.infra-m.ru/2102/2102695/cover/2102695.jpg", "Обложка")</f>
        <v>Обложка</v>
      </c>
      <c r="V1013" s="28" t="str">
        <f>HYPERLINK("https://znanium.ru/catalog/product/2102695", "Ознакомиться")</f>
        <v>Ознакомиться</v>
      </c>
      <c r="W1013" s="8" t="s">
        <v>555</v>
      </c>
      <c r="X1013" s="6"/>
      <c r="Y1013" s="6"/>
      <c r="Z1013" s="6" t="s">
        <v>48</v>
      </c>
      <c r="AA1013" s="6" t="s">
        <v>213</v>
      </c>
    </row>
    <row r="1014" spans="1:27" s="4" customFormat="1" ht="51.95" customHeight="1">
      <c r="A1014" s="5">
        <v>0</v>
      </c>
      <c r="B1014" s="6" t="s">
        <v>6519</v>
      </c>
      <c r="C1014" s="13">
        <v>670</v>
      </c>
      <c r="D1014" s="8" t="s">
        <v>6520</v>
      </c>
      <c r="E1014" s="8" t="s">
        <v>6521</v>
      </c>
      <c r="F1014" s="8" t="s">
        <v>6522</v>
      </c>
      <c r="G1014" s="6" t="s">
        <v>54</v>
      </c>
      <c r="H1014" s="6" t="s">
        <v>79</v>
      </c>
      <c r="I1014" s="8" t="s">
        <v>39</v>
      </c>
      <c r="J1014" s="9">
        <v>1</v>
      </c>
      <c r="K1014" s="9">
        <v>142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43</v>
      </c>
      <c r="Q1014" s="8" t="s">
        <v>44</v>
      </c>
      <c r="R1014" s="10" t="s">
        <v>202</v>
      </c>
      <c r="S1014" s="11" t="s">
        <v>6524</v>
      </c>
      <c r="T1014" s="6"/>
      <c r="U1014" s="28" t="str">
        <f>HYPERLINK("https://media.infra-m.ru/2150/2150110/cover/2150110.jpg", "Обложка")</f>
        <v>Обложка</v>
      </c>
      <c r="V1014" s="28" t="str">
        <f>HYPERLINK("https://znanium.ru/catalog/product/2150110", "Ознакомиться")</f>
        <v>Ознакомиться</v>
      </c>
      <c r="W1014" s="8" t="s">
        <v>1938</v>
      </c>
      <c r="X1014" s="6"/>
      <c r="Y1014" s="6"/>
      <c r="Z1014" s="6" t="s">
        <v>48</v>
      </c>
      <c r="AA1014" s="6" t="s">
        <v>656</v>
      </c>
    </row>
    <row r="1015" spans="1:27" s="4" customFormat="1" ht="51.95" customHeight="1">
      <c r="A1015" s="5">
        <v>0</v>
      </c>
      <c r="B1015" s="6" t="s">
        <v>6525</v>
      </c>
      <c r="C1015" s="7">
        <v>1214</v>
      </c>
      <c r="D1015" s="8" t="s">
        <v>6526</v>
      </c>
      <c r="E1015" s="8" t="s">
        <v>6527</v>
      </c>
      <c r="F1015" s="8" t="s">
        <v>6528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263</v>
      </c>
      <c r="L1015" s="9">
        <v>2024</v>
      </c>
      <c r="M1015" s="8" t="s">
        <v>6529</v>
      </c>
      <c r="N1015" s="8" t="s">
        <v>41</v>
      </c>
      <c r="O1015" s="8" t="s">
        <v>1222</v>
      </c>
      <c r="P1015" s="6" t="s">
        <v>43</v>
      </c>
      <c r="Q1015" s="8" t="s">
        <v>44</v>
      </c>
      <c r="R1015" s="10" t="s">
        <v>6530</v>
      </c>
      <c r="S1015" s="11" t="s">
        <v>6531</v>
      </c>
      <c r="T1015" s="6"/>
      <c r="U1015" s="28" t="str">
        <f>HYPERLINK("https://media.infra-m.ru/2116/2116703/cover/2116703.jpg", "Обложка")</f>
        <v>Обложка</v>
      </c>
      <c r="V1015" s="28" t="str">
        <f>HYPERLINK("https://znanium.ru/catalog/product/2103213", "Ознакомиться")</f>
        <v>Ознакомиться</v>
      </c>
      <c r="W1015" s="8" t="s">
        <v>6532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6533</v>
      </c>
      <c r="C1016" s="7">
        <v>1224.9000000000001</v>
      </c>
      <c r="D1016" s="8" t="s">
        <v>6534</v>
      </c>
      <c r="E1016" s="8" t="s">
        <v>6535</v>
      </c>
      <c r="F1016" s="8" t="s">
        <v>6536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272</v>
      </c>
      <c r="L1016" s="9">
        <v>2023</v>
      </c>
      <c r="M1016" s="8" t="s">
        <v>6537</v>
      </c>
      <c r="N1016" s="8" t="s">
        <v>41</v>
      </c>
      <c r="O1016" s="8" t="s">
        <v>160</v>
      </c>
      <c r="P1016" s="6" t="s">
        <v>43</v>
      </c>
      <c r="Q1016" s="8" t="s">
        <v>44</v>
      </c>
      <c r="R1016" s="10" t="s">
        <v>202</v>
      </c>
      <c r="S1016" s="11" t="s">
        <v>6538</v>
      </c>
      <c r="T1016" s="6"/>
      <c r="U1016" s="28" t="str">
        <f>HYPERLINK("https://media.infra-m.ru/1976/1976173/cover/1976173.jpg", "Обложка")</f>
        <v>Обложка</v>
      </c>
      <c r="V1016" s="28" t="str">
        <f>HYPERLINK("https://znanium.ru/catalog/product/1021172", "Ознакомиться")</f>
        <v>Ознакомиться</v>
      </c>
      <c r="W1016" s="8" t="s">
        <v>6539</v>
      </c>
      <c r="X1016" s="6"/>
      <c r="Y1016" s="6"/>
      <c r="Z1016" s="6" t="s">
        <v>48</v>
      </c>
      <c r="AA1016" s="6" t="s">
        <v>921</v>
      </c>
    </row>
    <row r="1017" spans="1:27" s="4" customFormat="1" ht="51.95" customHeight="1">
      <c r="A1017" s="5">
        <v>0</v>
      </c>
      <c r="B1017" s="6" t="s">
        <v>6540</v>
      </c>
      <c r="C1017" s="7">
        <v>2804</v>
      </c>
      <c r="D1017" s="8" t="s">
        <v>6541</v>
      </c>
      <c r="E1017" s="8" t="s">
        <v>6542</v>
      </c>
      <c r="F1017" s="8" t="s">
        <v>6543</v>
      </c>
      <c r="G1017" s="6" t="s">
        <v>66</v>
      </c>
      <c r="H1017" s="6" t="s">
        <v>38</v>
      </c>
      <c r="I1017" s="8" t="s">
        <v>56</v>
      </c>
      <c r="J1017" s="9">
        <v>1</v>
      </c>
      <c r="K1017" s="9">
        <v>610</v>
      </c>
      <c r="L1017" s="9">
        <v>2024</v>
      </c>
      <c r="M1017" s="8" t="s">
        <v>6544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6545</v>
      </c>
      <c r="S1017" s="11" t="s">
        <v>6546</v>
      </c>
      <c r="T1017" s="6"/>
      <c r="U1017" s="28" t="str">
        <f>HYPERLINK("https://media.infra-m.ru/2079/2079165/cover/2079165.jpg", "Обложка")</f>
        <v>Обложка</v>
      </c>
      <c r="V1017" s="28" t="str">
        <f>HYPERLINK("https://znanium.ru/catalog/product/1226473", "Ознакомиться")</f>
        <v>Ознакомиться</v>
      </c>
      <c r="W1017" s="8" t="s">
        <v>172</v>
      </c>
      <c r="X1017" s="6"/>
      <c r="Y1017" s="6"/>
      <c r="Z1017" s="6"/>
      <c r="AA1017" s="6" t="s">
        <v>164</v>
      </c>
    </row>
    <row r="1018" spans="1:27" s="4" customFormat="1" ht="51.95" customHeight="1">
      <c r="A1018" s="5">
        <v>0</v>
      </c>
      <c r="B1018" s="6" t="s">
        <v>6547</v>
      </c>
      <c r="C1018" s="13">
        <v>830</v>
      </c>
      <c r="D1018" s="8" t="s">
        <v>6548</v>
      </c>
      <c r="E1018" s="8" t="s">
        <v>6549</v>
      </c>
      <c r="F1018" s="8" t="s">
        <v>6550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224</v>
      </c>
      <c r="L1018" s="9">
        <v>2022</v>
      </c>
      <c r="M1018" s="8" t="s">
        <v>6551</v>
      </c>
      <c r="N1018" s="8" t="s">
        <v>41</v>
      </c>
      <c r="O1018" s="8" t="s">
        <v>160</v>
      </c>
      <c r="P1018" s="6" t="s">
        <v>43</v>
      </c>
      <c r="Q1018" s="8" t="s">
        <v>44</v>
      </c>
      <c r="R1018" s="10" t="s">
        <v>202</v>
      </c>
      <c r="S1018" s="11" t="s">
        <v>6552</v>
      </c>
      <c r="T1018" s="6"/>
      <c r="U1018" s="28" t="str">
        <f>HYPERLINK("https://media.infra-m.ru/1723/1723512/cover/1723512.jpg", "Обложка")</f>
        <v>Обложка</v>
      </c>
      <c r="V1018" s="28" t="str">
        <f>HYPERLINK("https://znanium.ru/catalog/product/1723512", "Ознакомиться")</f>
        <v>Ознакомиться</v>
      </c>
      <c r="W1018" s="8" t="s">
        <v>555</v>
      </c>
      <c r="X1018" s="6"/>
      <c r="Y1018" s="6"/>
      <c r="Z1018" s="6" t="s">
        <v>48</v>
      </c>
      <c r="AA1018" s="6" t="s">
        <v>656</v>
      </c>
    </row>
    <row r="1019" spans="1:27" s="4" customFormat="1" ht="51.95" customHeight="1">
      <c r="A1019" s="5">
        <v>0</v>
      </c>
      <c r="B1019" s="6" t="s">
        <v>6553</v>
      </c>
      <c r="C1019" s="7">
        <v>1100</v>
      </c>
      <c r="D1019" s="8" t="s">
        <v>6554</v>
      </c>
      <c r="E1019" s="8" t="s">
        <v>6555</v>
      </c>
      <c r="F1019" s="8" t="s">
        <v>6556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305</v>
      </c>
      <c r="L1019" s="9">
        <v>2021</v>
      </c>
      <c r="M1019" s="8" t="s">
        <v>6557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6558</v>
      </c>
      <c r="S1019" s="11" t="s">
        <v>6559</v>
      </c>
      <c r="T1019" s="6"/>
      <c r="U1019" s="28" t="str">
        <f>HYPERLINK("https://media.infra-m.ru/1043/1043102/cover/1043102.jpg", "Обложка")</f>
        <v>Обложка</v>
      </c>
      <c r="V1019" s="12"/>
      <c r="W1019" s="8" t="s">
        <v>6560</v>
      </c>
      <c r="X1019" s="6"/>
      <c r="Y1019" s="6"/>
      <c r="Z1019" s="6" t="s">
        <v>48</v>
      </c>
      <c r="AA1019" s="6" t="s">
        <v>459</v>
      </c>
    </row>
    <row r="1020" spans="1:27" s="4" customFormat="1" ht="51.95" customHeight="1">
      <c r="A1020" s="5">
        <v>0</v>
      </c>
      <c r="B1020" s="6" t="s">
        <v>6561</v>
      </c>
      <c r="C1020" s="7">
        <v>2020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530</v>
      </c>
      <c r="L1020" s="9">
        <v>2022</v>
      </c>
      <c r="M1020" s="8" t="s">
        <v>6565</v>
      </c>
      <c r="N1020" s="8" t="s">
        <v>41</v>
      </c>
      <c r="O1020" s="8" t="s">
        <v>160</v>
      </c>
      <c r="P1020" s="6" t="s">
        <v>70</v>
      </c>
      <c r="Q1020" s="8" t="s">
        <v>44</v>
      </c>
      <c r="R1020" s="10" t="s">
        <v>202</v>
      </c>
      <c r="S1020" s="11" t="s">
        <v>6566</v>
      </c>
      <c r="T1020" s="6"/>
      <c r="U1020" s="28" t="str">
        <f>HYPERLINK("https://media.infra-m.ru/1850/1850693/cover/1850693.jpg", "Обложка")</f>
        <v>Обложка</v>
      </c>
      <c r="V1020" s="28" t="str">
        <f>HYPERLINK("https://znanium.ru/catalog/product/1850693", "Ознакомиться")</f>
        <v>Ознакомиться</v>
      </c>
      <c r="W1020" s="8" t="s">
        <v>1225</v>
      </c>
      <c r="X1020" s="6"/>
      <c r="Y1020" s="6"/>
      <c r="Z1020" s="6" t="s">
        <v>48</v>
      </c>
      <c r="AA1020" s="6" t="s">
        <v>459</v>
      </c>
    </row>
    <row r="1021" spans="1:27" s="4" customFormat="1" ht="51.95" customHeight="1">
      <c r="A1021" s="5">
        <v>0</v>
      </c>
      <c r="B1021" s="6" t="s">
        <v>6567</v>
      </c>
      <c r="C1021" s="7">
        <v>2544</v>
      </c>
      <c r="D1021" s="8" t="s">
        <v>6568</v>
      </c>
      <c r="E1021" s="8" t="s">
        <v>6569</v>
      </c>
      <c r="F1021" s="8" t="s">
        <v>6570</v>
      </c>
      <c r="G1021" s="6" t="s">
        <v>37</v>
      </c>
      <c r="H1021" s="6" t="s">
        <v>38</v>
      </c>
      <c r="I1021" s="8"/>
      <c r="J1021" s="9">
        <v>1</v>
      </c>
      <c r="K1021" s="9">
        <v>864</v>
      </c>
      <c r="L1021" s="9">
        <v>2024</v>
      </c>
      <c r="M1021" s="8" t="s">
        <v>6571</v>
      </c>
      <c r="N1021" s="8" t="s">
        <v>41</v>
      </c>
      <c r="O1021" s="8" t="s">
        <v>160</v>
      </c>
      <c r="P1021" s="6" t="s">
        <v>70</v>
      </c>
      <c r="Q1021" s="8" t="s">
        <v>44</v>
      </c>
      <c r="R1021" s="10" t="s">
        <v>6455</v>
      </c>
      <c r="S1021" s="11" t="s">
        <v>6572</v>
      </c>
      <c r="T1021" s="6"/>
      <c r="U1021" s="28" t="str">
        <f>HYPERLINK("https://media.infra-m.ru/2053/2053252/cover/2053252.jpg", "Обложка")</f>
        <v>Обложка</v>
      </c>
      <c r="V1021" s="12"/>
      <c r="W1021" s="8" t="s">
        <v>172</v>
      </c>
      <c r="X1021" s="6"/>
      <c r="Y1021" s="6"/>
      <c r="Z1021" s="6"/>
      <c r="AA1021" s="6" t="s">
        <v>4306</v>
      </c>
    </row>
    <row r="1022" spans="1:27" s="4" customFormat="1" ht="51.95" customHeight="1">
      <c r="A1022" s="5">
        <v>0</v>
      </c>
      <c r="B1022" s="6" t="s">
        <v>6573</v>
      </c>
      <c r="C1022" s="7">
        <v>1154.9000000000001</v>
      </c>
      <c r="D1022" s="8" t="s">
        <v>6574</v>
      </c>
      <c r="E1022" s="8" t="s">
        <v>6575</v>
      </c>
      <c r="F1022" s="8" t="s">
        <v>6576</v>
      </c>
      <c r="G1022" s="6" t="s">
        <v>37</v>
      </c>
      <c r="H1022" s="6" t="s">
        <v>38</v>
      </c>
      <c r="I1022" s="8" t="s">
        <v>56</v>
      </c>
      <c r="J1022" s="9">
        <v>16</v>
      </c>
      <c r="K1022" s="9">
        <v>304</v>
      </c>
      <c r="L1022" s="9">
        <v>2022</v>
      </c>
      <c r="M1022" s="8" t="s">
        <v>6577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6578</v>
      </c>
      <c r="S1022" s="11" t="s">
        <v>2881</v>
      </c>
      <c r="T1022" s="6"/>
      <c r="U1022" s="28" t="str">
        <f>HYPERLINK("https://media.infra-m.ru/1834/1834753/cover/1834753.jpg", "Обложка")</f>
        <v>Обложка</v>
      </c>
      <c r="V1022" s="28" t="str">
        <f>HYPERLINK("https://znanium.ru/catalog/product/1834753", "Ознакомиться")</f>
        <v>Ознакомиться</v>
      </c>
      <c r="W1022" s="8" t="s">
        <v>172</v>
      </c>
      <c r="X1022" s="6"/>
      <c r="Y1022" s="6"/>
      <c r="Z1022" s="6"/>
      <c r="AA1022" s="6" t="s">
        <v>288</v>
      </c>
    </row>
    <row r="1023" spans="1:27" s="4" customFormat="1" ht="51.95" customHeight="1">
      <c r="A1023" s="5">
        <v>0</v>
      </c>
      <c r="B1023" s="6" t="s">
        <v>6579</v>
      </c>
      <c r="C1023" s="13">
        <v>820</v>
      </c>
      <c r="D1023" s="8" t="s">
        <v>6580</v>
      </c>
      <c r="E1023" s="8" t="s">
        <v>6569</v>
      </c>
      <c r="F1023" s="8" t="s">
        <v>6550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240</v>
      </c>
      <c r="L1023" s="9">
        <v>2020</v>
      </c>
      <c r="M1023" s="8" t="s">
        <v>6581</v>
      </c>
      <c r="N1023" s="8" t="s">
        <v>41</v>
      </c>
      <c r="O1023" s="8" t="s">
        <v>160</v>
      </c>
      <c r="P1023" s="6" t="s">
        <v>43</v>
      </c>
      <c r="Q1023" s="8" t="s">
        <v>44</v>
      </c>
      <c r="R1023" s="10" t="s">
        <v>202</v>
      </c>
      <c r="S1023" s="11" t="s">
        <v>6582</v>
      </c>
      <c r="T1023" s="6"/>
      <c r="U1023" s="28" t="str">
        <f>HYPERLINK("https://media.infra-m.ru/1043/1043105/cover/1043105.jpg", "Обложка")</f>
        <v>Обложка</v>
      </c>
      <c r="V1023" s="28" t="str">
        <f>HYPERLINK("https://znanium.ru/catalog/product/1043105", "Ознакомиться")</f>
        <v>Ознакомиться</v>
      </c>
      <c r="W1023" s="8" t="s">
        <v>555</v>
      </c>
      <c r="X1023" s="6"/>
      <c r="Y1023" s="6"/>
      <c r="Z1023" s="6" t="s">
        <v>48</v>
      </c>
      <c r="AA1023" s="6" t="s">
        <v>414</v>
      </c>
    </row>
    <row r="1024" spans="1:27" s="4" customFormat="1" ht="51.95" customHeight="1">
      <c r="A1024" s="5">
        <v>0</v>
      </c>
      <c r="B1024" s="6" t="s">
        <v>6583</v>
      </c>
      <c r="C1024" s="13">
        <v>840</v>
      </c>
      <c r="D1024" s="8" t="s">
        <v>6584</v>
      </c>
      <c r="E1024" s="8" t="s">
        <v>6585</v>
      </c>
      <c r="F1024" s="8" t="s">
        <v>6586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180</v>
      </c>
      <c r="L1024" s="9">
        <v>2023</v>
      </c>
      <c r="M1024" s="8" t="s">
        <v>6587</v>
      </c>
      <c r="N1024" s="8" t="s">
        <v>41</v>
      </c>
      <c r="O1024" s="8" t="s">
        <v>160</v>
      </c>
      <c r="P1024" s="6" t="s">
        <v>43</v>
      </c>
      <c r="Q1024" s="8" t="s">
        <v>44</v>
      </c>
      <c r="R1024" s="10" t="s">
        <v>6501</v>
      </c>
      <c r="S1024" s="11" t="s">
        <v>6588</v>
      </c>
      <c r="T1024" s="6"/>
      <c r="U1024" s="28" t="str">
        <f>HYPERLINK("https://media.infra-m.ru/1893/1893797/cover/1893797.jpg", "Обложка")</f>
        <v>Обложка</v>
      </c>
      <c r="V1024" s="28" t="str">
        <f>HYPERLINK("https://znanium.ru/catalog/product/1893797", "Ознакомиться")</f>
        <v>Ознакомиться</v>
      </c>
      <c r="W1024" s="8" t="s">
        <v>277</v>
      </c>
      <c r="X1024" s="6"/>
      <c r="Y1024" s="6"/>
      <c r="Z1024" s="6" t="s">
        <v>48</v>
      </c>
      <c r="AA1024" s="6" t="s">
        <v>94</v>
      </c>
    </row>
    <row r="1025" spans="1:27" s="4" customFormat="1" ht="51.95" customHeight="1">
      <c r="A1025" s="5">
        <v>0</v>
      </c>
      <c r="B1025" s="6" t="s">
        <v>6589</v>
      </c>
      <c r="C1025" s="7">
        <v>1684.9</v>
      </c>
      <c r="D1025" s="8" t="s">
        <v>6590</v>
      </c>
      <c r="E1025" s="8" t="s">
        <v>6591</v>
      </c>
      <c r="F1025" s="8" t="s">
        <v>3852</v>
      </c>
      <c r="G1025" s="6" t="s">
        <v>66</v>
      </c>
      <c r="H1025" s="6" t="s">
        <v>79</v>
      </c>
      <c r="I1025" s="8" t="s">
        <v>39</v>
      </c>
      <c r="J1025" s="9">
        <v>1</v>
      </c>
      <c r="K1025" s="9">
        <v>375</v>
      </c>
      <c r="L1025" s="9">
        <v>2023</v>
      </c>
      <c r="M1025" s="8" t="s">
        <v>6592</v>
      </c>
      <c r="N1025" s="8" t="s">
        <v>118</v>
      </c>
      <c r="O1025" s="8" t="s">
        <v>119</v>
      </c>
      <c r="P1025" s="6" t="s">
        <v>70</v>
      </c>
      <c r="Q1025" s="8" t="s">
        <v>44</v>
      </c>
      <c r="R1025" s="10" t="s">
        <v>905</v>
      </c>
      <c r="S1025" s="11" t="s">
        <v>2065</v>
      </c>
      <c r="T1025" s="6"/>
      <c r="U1025" s="28" t="str">
        <f>HYPERLINK("https://media.infra-m.ru/1965/1965766/cover/1965766.jpg", "Обложка")</f>
        <v>Обложка</v>
      </c>
      <c r="V1025" s="28" t="str">
        <f>HYPERLINK("https://znanium.ru/catalog/product/1209851", "Ознакомиться")</f>
        <v>Ознакомиться</v>
      </c>
      <c r="W1025" s="8" t="s">
        <v>3855</v>
      </c>
      <c r="X1025" s="6"/>
      <c r="Y1025" s="6"/>
      <c r="Z1025" s="6" t="s">
        <v>48</v>
      </c>
      <c r="AA1025" s="6" t="s">
        <v>94</v>
      </c>
    </row>
    <row r="1026" spans="1:27" s="4" customFormat="1" ht="51.95" customHeight="1">
      <c r="A1026" s="5">
        <v>0</v>
      </c>
      <c r="B1026" s="6" t="s">
        <v>6593</v>
      </c>
      <c r="C1026" s="13">
        <v>924</v>
      </c>
      <c r="D1026" s="8" t="s">
        <v>6594</v>
      </c>
      <c r="E1026" s="8" t="s">
        <v>6595</v>
      </c>
      <c r="F1026" s="8" t="s">
        <v>6596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202</v>
      </c>
      <c r="L1026" s="9">
        <v>2024</v>
      </c>
      <c r="M1026" s="8" t="s">
        <v>6597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5018</v>
      </c>
      <c r="S1026" s="11" t="s">
        <v>6598</v>
      </c>
      <c r="T1026" s="6"/>
      <c r="U1026" s="28" t="str">
        <f>HYPERLINK("https://media.infra-m.ru/2132/2132946/cover/2132946.jpg", "Обложка")</f>
        <v>Обложка</v>
      </c>
      <c r="V1026" s="28" t="str">
        <f>HYPERLINK("https://znanium.ru/catalog/product/1843211", "Ознакомиться")</f>
        <v>Ознакомиться</v>
      </c>
      <c r="W1026" s="8" t="s">
        <v>508</v>
      </c>
      <c r="X1026" s="6"/>
      <c r="Y1026" s="6"/>
      <c r="Z1026" s="6" t="s">
        <v>48</v>
      </c>
      <c r="AA1026" s="6" t="s">
        <v>213</v>
      </c>
    </row>
    <row r="1027" spans="1:27" s="4" customFormat="1" ht="51.95" customHeight="1">
      <c r="A1027" s="5">
        <v>0</v>
      </c>
      <c r="B1027" s="6" t="s">
        <v>6599</v>
      </c>
      <c r="C1027" s="7">
        <v>1854</v>
      </c>
      <c r="D1027" s="8" t="s">
        <v>6600</v>
      </c>
      <c r="E1027" s="8" t="s">
        <v>6601</v>
      </c>
      <c r="F1027" s="8" t="s">
        <v>6602</v>
      </c>
      <c r="G1027" s="6" t="s">
        <v>66</v>
      </c>
      <c r="H1027" s="6" t="s">
        <v>38</v>
      </c>
      <c r="I1027" s="8" t="s">
        <v>39</v>
      </c>
      <c r="J1027" s="9">
        <v>1</v>
      </c>
      <c r="K1027" s="9">
        <v>395</v>
      </c>
      <c r="L1027" s="9">
        <v>2024</v>
      </c>
      <c r="M1027" s="8" t="s">
        <v>6603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3999</v>
      </c>
      <c r="S1027" s="11" t="s">
        <v>1000</v>
      </c>
      <c r="T1027" s="6"/>
      <c r="U1027" s="28" t="str">
        <f>HYPERLINK("https://media.infra-m.ru/2056/2056793/cover/2056793.jpg", "Обложка")</f>
        <v>Обложка</v>
      </c>
      <c r="V1027" s="28" t="str">
        <f>HYPERLINK("https://znanium.ru/catalog/product/1225394", "Ознакомиться")</f>
        <v>Ознакомиться</v>
      </c>
      <c r="W1027" s="8" t="s">
        <v>163</v>
      </c>
      <c r="X1027" s="6"/>
      <c r="Y1027" s="6"/>
      <c r="Z1027" s="6"/>
      <c r="AA1027" s="6" t="s">
        <v>182</v>
      </c>
    </row>
    <row r="1028" spans="1:27" s="4" customFormat="1" ht="51.95" customHeight="1">
      <c r="A1028" s="5">
        <v>0</v>
      </c>
      <c r="B1028" s="6" t="s">
        <v>6604</v>
      </c>
      <c r="C1028" s="7">
        <v>1994.9</v>
      </c>
      <c r="D1028" s="8" t="s">
        <v>6605</v>
      </c>
      <c r="E1028" s="8" t="s">
        <v>6606</v>
      </c>
      <c r="F1028" s="8" t="s">
        <v>6607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442</v>
      </c>
      <c r="L1028" s="9">
        <v>2023</v>
      </c>
      <c r="M1028" s="8" t="s">
        <v>6608</v>
      </c>
      <c r="N1028" s="8" t="s">
        <v>41</v>
      </c>
      <c r="O1028" s="8" t="s">
        <v>178</v>
      </c>
      <c r="P1028" s="6" t="s">
        <v>70</v>
      </c>
      <c r="Q1028" s="8" t="s">
        <v>44</v>
      </c>
      <c r="R1028" s="10" t="s">
        <v>6609</v>
      </c>
      <c r="S1028" s="11" t="s">
        <v>6610</v>
      </c>
      <c r="T1028" s="6"/>
      <c r="U1028" s="28" t="str">
        <f>HYPERLINK("https://media.infra-m.ru/1928/1928376/cover/1928376.jpg", "Обложка")</f>
        <v>Обложка</v>
      </c>
      <c r="V1028" s="28" t="str">
        <f>HYPERLINK("https://znanium.ru/catalog/product/988109", "Ознакомиться")</f>
        <v>Ознакомиться</v>
      </c>
      <c r="W1028" s="8" t="s">
        <v>181</v>
      </c>
      <c r="X1028" s="6"/>
      <c r="Y1028" s="6"/>
      <c r="Z1028" s="6"/>
      <c r="AA1028" s="6" t="s">
        <v>1358</v>
      </c>
    </row>
    <row r="1029" spans="1:27" s="4" customFormat="1" ht="51.95" customHeight="1">
      <c r="A1029" s="5">
        <v>0</v>
      </c>
      <c r="B1029" s="6" t="s">
        <v>6611</v>
      </c>
      <c r="C1029" s="7">
        <v>1294.9000000000001</v>
      </c>
      <c r="D1029" s="8" t="s">
        <v>6612</v>
      </c>
      <c r="E1029" s="8" t="s">
        <v>6613</v>
      </c>
      <c r="F1029" s="8" t="s">
        <v>6614</v>
      </c>
      <c r="G1029" s="6" t="s">
        <v>37</v>
      </c>
      <c r="H1029" s="6" t="s">
        <v>38</v>
      </c>
      <c r="I1029" s="8" t="s">
        <v>56</v>
      </c>
      <c r="J1029" s="9">
        <v>1</v>
      </c>
      <c r="K1029" s="9">
        <v>288</v>
      </c>
      <c r="L1029" s="9">
        <v>2023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6616</v>
      </c>
      <c r="S1029" s="11" t="s">
        <v>101</v>
      </c>
      <c r="T1029" s="6"/>
      <c r="U1029" s="28" t="str">
        <f>HYPERLINK("https://media.infra-m.ru/1922/1922315/cover/1922315.jpg", "Обложка")</f>
        <v>Обложка</v>
      </c>
      <c r="V1029" s="28" t="str">
        <f>HYPERLINK("https://znanium.ru/catalog/product/1088223", "Ознакомиться")</f>
        <v>Ознакомиться</v>
      </c>
      <c r="W1029" s="8" t="s">
        <v>172</v>
      </c>
      <c r="X1029" s="6"/>
      <c r="Y1029" s="6"/>
      <c r="Z1029" s="6"/>
      <c r="AA1029" s="6" t="s">
        <v>103</v>
      </c>
    </row>
    <row r="1030" spans="1:27" s="4" customFormat="1" ht="51.95" customHeight="1">
      <c r="A1030" s="5">
        <v>0</v>
      </c>
      <c r="B1030" s="6" t="s">
        <v>6617</v>
      </c>
      <c r="C1030" s="7">
        <v>1124</v>
      </c>
      <c r="D1030" s="8" t="s">
        <v>6618</v>
      </c>
      <c r="E1030" s="8" t="s">
        <v>6619</v>
      </c>
      <c r="F1030" s="8" t="s">
        <v>6620</v>
      </c>
      <c r="G1030" s="6" t="s">
        <v>37</v>
      </c>
      <c r="H1030" s="6" t="s">
        <v>79</v>
      </c>
      <c r="I1030" s="8" t="s">
        <v>39</v>
      </c>
      <c r="J1030" s="9">
        <v>1</v>
      </c>
      <c r="K1030" s="9">
        <v>244</v>
      </c>
      <c r="L1030" s="9">
        <v>2023</v>
      </c>
      <c r="M1030" s="8" t="s">
        <v>6621</v>
      </c>
      <c r="N1030" s="8" t="s">
        <v>41</v>
      </c>
      <c r="O1030" s="8" t="s">
        <v>1222</v>
      </c>
      <c r="P1030" s="6" t="s">
        <v>43</v>
      </c>
      <c r="Q1030" s="8" t="s">
        <v>44</v>
      </c>
      <c r="R1030" s="10" t="s">
        <v>6622</v>
      </c>
      <c r="S1030" s="11" t="s">
        <v>6623</v>
      </c>
      <c r="T1030" s="6"/>
      <c r="U1030" s="28" t="str">
        <f>HYPERLINK("https://media.infra-m.ru/1976/1976190/cover/1976190.jpg", "Обложка")</f>
        <v>Обложка</v>
      </c>
      <c r="V1030" s="28" t="str">
        <f>HYPERLINK("https://znanium.ru/catalog/product/1021725", "Ознакомиться")</f>
        <v>Ознакомиться</v>
      </c>
      <c r="W1030" s="8" t="s">
        <v>3347</v>
      </c>
      <c r="X1030" s="6"/>
      <c r="Y1030" s="6"/>
      <c r="Z1030" s="6" t="s">
        <v>48</v>
      </c>
      <c r="AA1030" s="6" t="s">
        <v>94</v>
      </c>
    </row>
    <row r="1031" spans="1:27" s="4" customFormat="1" ht="42" customHeight="1">
      <c r="A1031" s="5">
        <v>0</v>
      </c>
      <c r="B1031" s="6" t="s">
        <v>6624</v>
      </c>
      <c r="C1031" s="7">
        <v>2250</v>
      </c>
      <c r="D1031" s="8" t="s">
        <v>6625</v>
      </c>
      <c r="E1031" s="8" t="s">
        <v>6626</v>
      </c>
      <c r="F1031" s="8" t="s">
        <v>2155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475</v>
      </c>
      <c r="L1031" s="9">
        <v>2024</v>
      </c>
      <c r="M1031" s="8" t="s">
        <v>6627</v>
      </c>
      <c r="N1031" s="8" t="s">
        <v>41</v>
      </c>
      <c r="O1031" s="8" t="s">
        <v>160</v>
      </c>
      <c r="P1031" s="6" t="s">
        <v>43</v>
      </c>
      <c r="Q1031" s="8" t="s">
        <v>44</v>
      </c>
      <c r="R1031" s="10" t="s">
        <v>1771</v>
      </c>
      <c r="S1031" s="11"/>
      <c r="T1031" s="6"/>
      <c r="U1031" s="28" t="str">
        <f>HYPERLINK("https://media.infra-m.ru/1031/1031596/cover/1031596.jpg", "Обложка")</f>
        <v>Обложка</v>
      </c>
      <c r="V1031" s="28" t="str">
        <f>HYPERLINK("https://znanium.ru/catalog/product/1031596", "Ознакомиться")</f>
        <v>Ознакомиться</v>
      </c>
      <c r="W1031" s="8" t="s">
        <v>2158</v>
      </c>
      <c r="X1031" s="6" t="s">
        <v>338</v>
      </c>
      <c r="Y1031" s="6"/>
      <c r="Z1031" s="6"/>
      <c r="AA1031" s="6" t="s">
        <v>49</v>
      </c>
    </row>
    <row r="1032" spans="1:27" s="4" customFormat="1" ht="51.95" customHeight="1">
      <c r="A1032" s="5">
        <v>0</v>
      </c>
      <c r="B1032" s="6" t="s">
        <v>6628</v>
      </c>
      <c r="C1032" s="7">
        <v>1884</v>
      </c>
      <c r="D1032" s="8" t="s">
        <v>6629</v>
      </c>
      <c r="E1032" s="8" t="s">
        <v>6630</v>
      </c>
      <c r="F1032" s="8" t="s">
        <v>6631</v>
      </c>
      <c r="G1032" s="6" t="s">
        <v>66</v>
      </c>
      <c r="H1032" s="6" t="s">
        <v>283</v>
      </c>
      <c r="I1032" s="8" t="s">
        <v>39</v>
      </c>
      <c r="J1032" s="9">
        <v>1</v>
      </c>
      <c r="K1032" s="9">
        <v>400</v>
      </c>
      <c r="L1032" s="9">
        <v>2024</v>
      </c>
      <c r="M1032" s="8" t="s">
        <v>6632</v>
      </c>
      <c r="N1032" s="8" t="s">
        <v>41</v>
      </c>
      <c r="O1032" s="8" t="s">
        <v>42</v>
      </c>
      <c r="P1032" s="6" t="s">
        <v>43</v>
      </c>
      <c r="Q1032" s="8" t="s">
        <v>44</v>
      </c>
      <c r="R1032" s="10" t="s">
        <v>725</v>
      </c>
      <c r="S1032" s="11" t="s">
        <v>5333</v>
      </c>
      <c r="T1032" s="6"/>
      <c r="U1032" s="28" t="str">
        <f>HYPERLINK("https://media.infra-m.ru/2141/2141565/cover/2141565.jpg", "Обложка")</f>
        <v>Обложка</v>
      </c>
      <c r="V1032" s="28" t="str">
        <f>HYPERLINK("https://znanium.ru/catalog/product/2136716", "Ознакомиться")</f>
        <v>Ознакомиться</v>
      </c>
      <c r="W1032" s="8" t="s">
        <v>726</v>
      </c>
      <c r="X1032" s="6"/>
      <c r="Y1032" s="6" t="s">
        <v>30</v>
      </c>
      <c r="Z1032" s="6" t="s">
        <v>48</v>
      </c>
      <c r="AA1032" s="6" t="s">
        <v>122</v>
      </c>
    </row>
    <row r="1033" spans="1:27" s="4" customFormat="1" ht="51.95" customHeight="1">
      <c r="A1033" s="5">
        <v>0</v>
      </c>
      <c r="B1033" s="6" t="s">
        <v>6633</v>
      </c>
      <c r="C1033" s="7">
        <v>1130</v>
      </c>
      <c r="D1033" s="8" t="s">
        <v>6634</v>
      </c>
      <c r="E1033" s="8" t="s">
        <v>6635</v>
      </c>
      <c r="F1033" s="8" t="s">
        <v>6636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250</v>
      </c>
      <c r="L1033" s="9">
        <v>2023</v>
      </c>
      <c r="M1033" s="8" t="s">
        <v>6637</v>
      </c>
      <c r="N1033" s="8" t="s">
        <v>41</v>
      </c>
      <c r="O1033" s="8" t="s">
        <v>178</v>
      </c>
      <c r="P1033" s="6" t="s">
        <v>43</v>
      </c>
      <c r="Q1033" s="8" t="s">
        <v>44</v>
      </c>
      <c r="R1033" s="10" t="s">
        <v>3647</v>
      </c>
      <c r="S1033" s="11" t="s">
        <v>6638</v>
      </c>
      <c r="T1033" s="6"/>
      <c r="U1033" s="28" t="str">
        <f>HYPERLINK("https://media.infra-m.ru/1927/1927374/cover/1927374.jpg", "Обложка")</f>
        <v>Обложка</v>
      </c>
      <c r="V1033" s="28" t="str">
        <f>HYPERLINK("https://znanium.ru/catalog/product/1927374", "Ознакомиться")</f>
        <v>Ознакомиться</v>
      </c>
      <c r="W1033" s="8" t="s">
        <v>6639</v>
      </c>
      <c r="X1033" s="6"/>
      <c r="Y1033" s="6"/>
      <c r="Z1033" s="6"/>
      <c r="AA1033" s="6" t="s">
        <v>3123</v>
      </c>
    </row>
    <row r="1034" spans="1:27" s="4" customFormat="1" ht="51.95" customHeight="1">
      <c r="A1034" s="5">
        <v>0</v>
      </c>
      <c r="B1034" s="6" t="s">
        <v>6640</v>
      </c>
      <c r="C1034" s="7">
        <v>1154</v>
      </c>
      <c r="D1034" s="8" t="s">
        <v>6641</v>
      </c>
      <c r="E1034" s="8" t="s">
        <v>6642</v>
      </c>
      <c r="F1034" s="8" t="s">
        <v>6643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246</v>
      </c>
      <c r="L1034" s="9">
        <v>2024</v>
      </c>
      <c r="M1034" s="8" t="s">
        <v>6644</v>
      </c>
      <c r="N1034" s="8" t="s">
        <v>41</v>
      </c>
      <c r="O1034" s="8" t="s">
        <v>303</v>
      </c>
      <c r="P1034" s="6" t="s">
        <v>43</v>
      </c>
      <c r="Q1034" s="8" t="s">
        <v>44</v>
      </c>
      <c r="R1034" s="10" t="s">
        <v>1333</v>
      </c>
      <c r="S1034" s="11" t="s">
        <v>6645</v>
      </c>
      <c r="T1034" s="6"/>
      <c r="U1034" s="28" t="str">
        <f>HYPERLINK("https://media.infra-m.ru/2137/2137111/cover/2137111.jpg", "Обложка")</f>
        <v>Обложка</v>
      </c>
      <c r="V1034" s="28" t="str">
        <f>HYPERLINK("https://znanium.ru/catalog/product/1322318", "Ознакомиться")</f>
        <v>Ознакомиться</v>
      </c>
      <c r="W1034" s="8" t="s">
        <v>4250</v>
      </c>
      <c r="X1034" s="6"/>
      <c r="Y1034" s="6"/>
      <c r="Z1034" s="6" t="s">
        <v>48</v>
      </c>
      <c r="AA1034" s="6" t="s">
        <v>213</v>
      </c>
    </row>
    <row r="1035" spans="1:27" s="4" customFormat="1" ht="51.95" customHeight="1">
      <c r="A1035" s="5">
        <v>0</v>
      </c>
      <c r="B1035" s="6" t="s">
        <v>6646</v>
      </c>
      <c r="C1035" s="7">
        <v>1420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373</v>
      </c>
      <c r="L1035" s="9">
        <v>2022</v>
      </c>
      <c r="M1035" s="8" t="s">
        <v>6650</v>
      </c>
      <c r="N1035" s="8" t="s">
        <v>41</v>
      </c>
      <c r="O1035" s="8" t="s">
        <v>160</v>
      </c>
      <c r="P1035" s="6" t="s">
        <v>43</v>
      </c>
      <c r="Q1035" s="8" t="s">
        <v>44</v>
      </c>
      <c r="R1035" s="10" t="s">
        <v>6651</v>
      </c>
      <c r="S1035" s="11" t="s">
        <v>6652</v>
      </c>
      <c r="T1035" s="6"/>
      <c r="U1035" s="28" t="str">
        <f>HYPERLINK("https://media.infra-m.ru/1860/1860079/cover/1860079.jpg", "Обложка")</f>
        <v>Обложка</v>
      </c>
      <c r="V1035" s="28" t="str">
        <f>HYPERLINK("https://znanium.ru/catalog/product/1860079", "Ознакомиться")</f>
        <v>Ознакомиться</v>
      </c>
      <c r="W1035" s="8" t="s">
        <v>555</v>
      </c>
      <c r="X1035" s="6"/>
      <c r="Y1035" s="6"/>
      <c r="Z1035" s="6"/>
      <c r="AA1035" s="6" t="s">
        <v>656</v>
      </c>
    </row>
    <row r="1036" spans="1:27" s="4" customFormat="1" ht="42" customHeight="1">
      <c r="A1036" s="5">
        <v>0</v>
      </c>
      <c r="B1036" s="6" t="s">
        <v>6653</v>
      </c>
      <c r="C1036" s="7">
        <v>1660</v>
      </c>
      <c r="D1036" s="8" t="s">
        <v>6654</v>
      </c>
      <c r="E1036" s="8" t="s">
        <v>6655</v>
      </c>
      <c r="F1036" s="8" t="s">
        <v>6656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342</v>
      </c>
      <c r="L1036" s="9">
        <v>2024</v>
      </c>
      <c r="M1036" s="8" t="s">
        <v>6657</v>
      </c>
      <c r="N1036" s="8" t="s">
        <v>118</v>
      </c>
      <c r="O1036" s="8" t="s">
        <v>403</v>
      </c>
      <c r="P1036" s="6" t="s">
        <v>70</v>
      </c>
      <c r="Q1036" s="8" t="s">
        <v>44</v>
      </c>
      <c r="R1036" s="10" t="s">
        <v>768</v>
      </c>
      <c r="S1036" s="11"/>
      <c r="T1036" s="6"/>
      <c r="U1036" s="28" t="str">
        <f>HYPERLINK("https://media.infra-m.ru/1870/1870567/cover/1870567.jpg", "Обложка")</f>
        <v>Обложка</v>
      </c>
      <c r="V1036" s="28" t="str">
        <f>HYPERLINK("https://znanium.ru/catalog/product/1870567", "Ознакомиться")</f>
        <v>Ознакомиться</v>
      </c>
      <c r="W1036" s="8" t="s">
        <v>1945</v>
      </c>
      <c r="X1036" s="6" t="s">
        <v>622</v>
      </c>
      <c r="Y1036" s="6"/>
      <c r="Z1036" s="6"/>
      <c r="AA1036" s="6" t="s">
        <v>339</v>
      </c>
    </row>
    <row r="1037" spans="1:27" s="4" customFormat="1" ht="51.95" customHeight="1">
      <c r="A1037" s="5">
        <v>0</v>
      </c>
      <c r="B1037" s="6" t="s">
        <v>6658</v>
      </c>
      <c r="C1037" s="7">
        <v>1520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395</v>
      </c>
      <c r="L1037" s="9">
        <v>2022</v>
      </c>
      <c r="M1037" s="8" t="s">
        <v>6662</v>
      </c>
      <c r="N1037" s="8" t="s">
        <v>41</v>
      </c>
      <c r="O1037" s="8" t="s">
        <v>178</v>
      </c>
      <c r="P1037" s="6" t="s">
        <v>70</v>
      </c>
      <c r="Q1037" s="8" t="s">
        <v>44</v>
      </c>
      <c r="R1037" s="10" t="s">
        <v>2011</v>
      </c>
      <c r="S1037" s="11" t="s">
        <v>6663</v>
      </c>
      <c r="T1037" s="6"/>
      <c r="U1037" s="28" t="str">
        <f>HYPERLINK("https://media.infra-m.ru/1864/1864130/cover/1864130.jpg", "Обложка")</f>
        <v>Обложка</v>
      </c>
      <c r="V1037" s="28" t="str">
        <f>HYPERLINK("https://znanium.ru/catalog/product/1864130", "Ознакомиться")</f>
        <v>Ознакомиться</v>
      </c>
      <c r="W1037" s="8" t="s">
        <v>1460</v>
      </c>
      <c r="X1037" s="6"/>
      <c r="Y1037" s="6"/>
      <c r="Z1037" s="6" t="s">
        <v>48</v>
      </c>
      <c r="AA1037" s="6" t="s">
        <v>213</v>
      </c>
    </row>
    <row r="1038" spans="1:27" s="4" customFormat="1" ht="42" customHeight="1">
      <c r="A1038" s="5">
        <v>0</v>
      </c>
      <c r="B1038" s="6" t="s">
        <v>6664</v>
      </c>
      <c r="C1038" s="7">
        <v>1474</v>
      </c>
      <c r="D1038" s="8" t="s">
        <v>6665</v>
      </c>
      <c r="E1038" s="8" t="s">
        <v>6666</v>
      </c>
      <c r="F1038" s="8" t="s">
        <v>3162</v>
      </c>
      <c r="G1038" s="6" t="s">
        <v>37</v>
      </c>
      <c r="H1038" s="6" t="s">
        <v>283</v>
      </c>
      <c r="I1038" s="8" t="s">
        <v>56</v>
      </c>
      <c r="J1038" s="9">
        <v>1</v>
      </c>
      <c r="K1038" s="9">
        <v>320</v>
      </c>
      <c r="L1038" s="9">
        <v>2024</v>
      </c>
      <c r="M1038" s="8" t="s">
        <v>6667</v>
      </c>
      <c r="N1038" s="8" t="s">
        <v>41</v>
      </c>
      <c r="O1038" s="8" t="s">
        <v>160</v>
      </c>
      <c r="P1038" s="6" t="s">
        <v>70</v>
      </c>
      <c r="Q1038" s="8" t="s">
        <v>44</v>
      </c>
      <c r="R1038" s="10" t="s">
        <v>6668</v>
      </c>
      <c r="S1038" s="11"/>
      <c r="T1038" s="6"/>
      <c r="U1038" s="28" t="str">
        <f>HYPERLINK("https://media.infra-m.ru/2103/2103169/cover/2103169.jpg", "Обложка")</f>
        <v>Обложка</v>
      </c>
      <c r="V1038" s="28" t="str">
        <f>HYPERLINK("https://znanium.ru/catalog/product/1003234", "Ознакомиться")</f>
        <v>Ознакомиться</v>
      </c>
      <c r="W1038" s="8" t="s">
        <v>172</v>
      </c>
      <c r="X1038" s="6"/>
      <c r="Y1038" s="6"/>
      <c r="Z1038" s="6"/>
      <c r="AA1038" s="6" t="s">
        <v>1473</v>
      </c>
    </row>
    <row r="1039" spans="1:27" s="4" customFormat="1" ht="51.95" customHeight="1">
      <c r="A1039" s="5">
        <v>0</v>
      </c>
      <c r="B1039" s="6" t="s">
        <v>6669</v>
      </c>
      <c r="C1039" s="7">
        <v>1320</v>
      </c>
      <c r="D1039" s="8" t="s">
        <v>6670</v>
      </c>
      <c r="E1039" s="8" t="s">
        <v>6671</v>
      </c>
      <c r="F1039" s="8" t="s">
        <v>2811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346</v>
      </c>
      <c r="L1039" s="9">
        <v>2022</v>
      </c>
      <c r="M1039" s="8" t="s">
        <v>6672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584</v>
      </c>
      <c r="S1039" s="11" t="s">
        <v>6673</v>
      </c>
      <c r="T1039" s="6"/>
      <c r="U1039" s="28" t="str">
        <f>HYPERLINK("https://media.infra-m.ru/1850/1850731/cover/1850731.jpg", "Обложка")</f>
        <v>Обложка</v>
      </c>
      <c r="V1039" s="28" t="str">
        <f>HYPERLINK("https://znanium.ru/catalog/product/1850731", "Ознакомиться")</f>
        <v>Ознакомиться</v>
      </c>
      <c r="W1039" s="8" t="s">
        <v>73</v>
      </c>
      <c r="X1039" s="6"/>
      <c r="Y1039" s="6"/>
      <c r="Z1039" s="6" t="s">
        <v>48</v>
      </c>
      <c r="AA1039" s="6" t="s">
        <v>475</v>
      </c>
    </row>
    <row r="1040" spans="1:27" s="4" customFormat="1" ht="51.95" customHeight="1">
      <c r="A1040" s="5">
        <v>0</v>
      </c>
      <c r="B1040" s="6" t="s">
        <v>6674</v>
      </c>
      <c r="C1040" s="7">
        <v>2367</v>
      </c>
      <c r="D1040" s="8" t="s">
        <v>6675</v>
      </c>
      <c r="E1040" s="8" t="s">
        <v>6676</v>
      </c>
      <c r="F1040" s="8" t="s">
        <v>6677</v>
      </c>
      <c r="G1040" s="6" t="s">
        <v>37</v>
      </c>
      <c r="H1040" s="6" t="s">
        <v>38</v>
      </c>
      <c r="I1040" s="8"/>
      <c r="J1040" s="9">
        <v>1</v>
      </c>
      <c r="K1040" s="9">
        <v>432</v>
      </c>
      <c r="L1040" s="9">
        <v>2024</v>
      </c>
      <c r="M1040" s="8" t="s">
        <v>6678</v>
      </c>
      <c r="N1040" s="8" t="s">
        <v>41</v>
      </c>
      <c r="O1040" s="8" t="s">
        <v>160</v>
      </c>
      <c r="P1040" s="6" t="s">
        <v>43</v>
      </c>
      <c r="Q1040" s="8" t="s">
        <v>44</v>
      </c>
      <c r="R1040" s="10" t="s">
        <v>202</v>
      </c>
      <c r="S1040" s="11" t="s">
        <v>973</v>
      </c>
      <c r="T1040" s="6"/>
      <c r="U1040" s="28" t="str">
        <f>HYPERLINK("https://media.infra-m.ru/2147/2147961/cover/2147961.jpg", "Обложка")</f>
        <v>Обложка</v>
      </c>
      <c r="V1040" s="12"/>
      <c r="W1040" s="8" t="s">
        <v>172</v>
      </c>
      <c r="X1040" s="6"/>
      <c r="Y1040" s="6"/>
      <c r="Z1040" s="6"/>
      <c r="AA1040" s="6" t="s">
        <v>288</v>
      </c>
    </row>
    <row r="1041" spans="1:27" s="4" customFormat="1" ht="51.95" customHeight="1">
      <c r="A1041" s="5">
        <v>0</v>
      </c>
      <c r="B1041" s="6" t="s">
        <v>6679</v>
      </c>
      <c r="C1041" s="7">
        <v>1434</v>
      </c>
      <c r="D1041" s="8" t="s">
        <v>6680</v>
      </c>
      <c r="E1041" s="8" t="s">
        <v>6681</v>
      </c>
      <c r="F1041" s="8" t="s">
        <v>6682</v>
      </c>
      <c r="G1041" s="6" t="s">
        <v>66</v>
      </c>
      <c r="H1041" s="6" t="s">
        <v>283</v>
      </c>
      <c r="I1041" s="8" t="s">
        <v>39</v>
      </c>
      <c r="J1041" s="9">
        <v>1</v>
      </c>
      <c r="K1041" s="9">
        <v>304</v>
      </c>
      <c r="L1041" s="9">
        <v>2024</v>
      </c>
      <c r="M1041" s="8" t="s">
        <v>6683</v>
      </c>
      <c r="N1041" s="8" t="s">
        <v>41</v>
      </c>
      <c r="O1041" s="8" t="s">
        <v>160</v>
      </c>
      <c r="P1041" s="6" t="s">
        <v>43</v>
      </c>
      <c r="Q1041" s="8" t="s">
        <v>44</v>
      </c>
      <c r="R1041" s="10" t="s">
        <v>553</v>
      </c>
      <c r="S1041" s="11" t="s">
        <v>3053</v>
      </c>
      <c r="T1041" s="6"/>
      <c r="U1041" s="28" t="str">
        <f>HYPERLINK("https://media.infra-m.ru/2145/2145763/cover/2145763.jpg", "Обложка")</f>
        <v>Обложка</v>
      </c>
      <c r="V1041" s="28" t="str">
        <f>HYPERLINK("https://znanium.ru/catalog/product/1896467", "Ознакомиться")</f>
        <v>Ознакомиться</v>
      </c>
      <c r="W1041" s="8" t="s">
        <v>2471</v>
      </c>
      <c r="X1041" s="6"/>
      <c r="Y1041" s="6"/>
      <c r="Z1041" s="6" t="s">
        <v>48</v>
      </c>
      <c r="AA1041" s="6" t="s">
        <v>94</v>
      </c>
    </row>
    <row r="1042" spans="1:27" s="4" customFormat="1" ht="51.95" customHeight="1">
      <c r="A1042" s="5">
        <v>0</v>
      </c>
      <c r="B1042" s="6" t="s">
        <v>6684</v>
      </c>
      <c r="C1042" s="7">
        <v>1300</v>
      </c>
      <c r="D1042" s="8" t="s">
        <v>6685</v>
      </c>
      <c r="E1042" s="8" t="s">
        <v>6686</v>
      </c>
      <c r="F1042" s="8" t="s">
        <v>6687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352</v>
      </c>
      <c r="L1042" s="9">
        <v>2022</v>
      </c>
      <c r="M1042" s="8" t="s">
        <v>6688</v>
      </c>
      <c r="N1042" s="8" t="s">
        <v>41</v>
      </c>
      <c r="O1042" s="8" t="s">
        <v>160</v>
      </c>
      <c r="P1042" s="6" t="s">
        <v>43</v>
      </c>
      <c r="Q1042" s="8" t="s">
        <v>44</v>
      </c>
      <c r="R1042" s="10" t="s">
        <v>6689</v>
      </c>
      <c r="S1042" s="11" t="s">
        <v>6690</v>
      </c>
      <c r="T1042" s="6"/>
      <c r="U1042" s="28" t="str">
        <f>HYPERLINK("https://media.infra-m.ru/1743/1743578/cover/1743578.jpg", "Обложка")</f>
        <v>Обложка</v>
      </c>
      <c r="V1042" s="28" t="str">
        <f>HYPERLINK("https://znanium.ru/catalog/product/1743578", "Ознакомиться")</f>
        <v>Ознакомиться</v>
      </c>
      <c r="W1042" s="8" t="s">
        <v>163</v>
      </c>
      <c r="X1042" s="6"/>
      <c r="Y1042" s="6"/>
      <c r="Z1042" s="6"/>
      <c r="AA1042" s="6" t="s">
        <v>1379</v>
      </c>
    </row>
    <row r="1043" spans="1:27" s="4" customFormat="1" ht="51.95" customHeight="1">
      <c r="A1043" s="5">
        <v>0</v>
      </c>
      <c r="B1043" s="6" t="s">
        <v>6691</v>
      </c>
      <c r="C1043" s="7">
        <v>1654</v>
      </c>
      <c r="D1043" s="8" t="s">
        <v>6692</v>
      </c>
      <c r="E1043" s="8" t="s">
        <v>6693</v>
      </c>
      <c r="F1043" s="8" t="s">
        <v>5974</v>
      </c>
      <c r="G1043" s="6" t="s">
        <v>66</v>
      </c>
      <c r="H1043" s="6" t="s">
        <v>38</v>
      </c>
      <c r="I1043" s="8" t="s">
        <v>56</v>
      </c>
      <c r="J1043" s="9">
        <v>1</v>
      </c>
      <c r="K1043" s="9">
        <v>352</v>
      </c>
      <c r="L1043" s="9">
        <v>2024</v>
      </c>
      <c r="M1043" s="8" t="s">
        <v>6694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6695</v>
      </c>
      <c r="S1043" s="11" t="s">
        <v>6696</v>
      </c>
      <c r="T1043" s="6"/>
      <c r="U1043" s="28" t="str">
        <f>HYPERLINK("https://media.infra-m.ru/2140/2140829/cover/2140829.jpg", "Обложка")</f>
        <v>Обложка</v>
      </c>
      <c r="V1043" s="28" t="str">
        <f>HYPERLINK("https://znanium.ru/catalog/product/2124362", "Ознакомиться")</f>
        <v>Ознакомиться</v>
      </c>
      <c r="W1043" s="8" t="s">
        <v>163</v>
      </c>
      <c r="X1043" s="6"/>
      <c r="Y1043" s="6" t="s">
        <v>30</v>
      </c>
      <c r="Z1043" s="6"/>
      <c r="AA1043" s="6" t="s">
        <v>1590</v>
      </c>
    </row>
    <row r="1044" spans="1:27" s="4" customFormat="1" ht="51.95" customHeight="1">
      <c r="A1044" s="5">
        <v>0</v>
      </c>
      <c r="B1044" s="6" t="s">
        <v>6697</v>
      </c>
      <c r="C1044" s="13">
        <v>914.9</v>
      </c>
      <c r="D1044" s="8" t="s">
        <v>6698</v>
      </c>
      <c r="E1044" s="8" t="s">
        <v>6699</v>
      </c>
      <c r="F1044" s="8" t="s">
        <v>3394</v>
      </c>
      <c r="G1044" s="6" t="s">
        <v>37</v>
      </c>
      <c r="H1044" s="6" t="s">
        <v>38</v>
      </c>
      <c r="I1044" s="8"/>
      <c r="J1044" s="9">
        <v>1</v>
      </c>
      <c r="K1044" s="9">
        <v>352</v>
      </c>
      <c r="L1044" s="9">
        <v>2017</v>
      </c>
      <c r="M1044" s="8" t="s">
        <v>6700</v>
      </c>
      <c r="N1044" s="8" t="s">
        <v>41</v>
      </c>
      <c r="O1044" s="8" t="s">
        <v>160</v>
      </c>
      <c r="P1044" s="6" t="s">
        <v>70</v>
      </c>
      <c r="Q1044" s="8" t="s">
        <v>44</v>
      </c>
      <c r="R1044" s="10" t="s">
        <v>6701</v>
      </c>
      <c r="S1044" s="11" t="s">
        <v>6702</v>
      </c>
      <c r="T1044" s="6"/>
      <c r="U1044" s="12"/>
      <c r="V1044" s="28" t="str">
        <f>HYPERLINK("https://znanium.ru/catalog/product/2022257", "Ознакомиться")</f>
        <v>Ознакомиться</v>
      </c>
      <c r="W1044" s="8" t="s">
        <v>163</v>
      </c>
      <c r="X1044" s="6"/>
      <c r="Y1044" s="6"/>
      <c r="Z1044" s="6"/>
      <c r="AA1044" s="6" t="s">
        <v>1350</v>
      </c>
    </row>
    <row r="1045" spans="1:27" s="4" customFormat="1" ht="51.95" customHeight="1">
      <c r="A1045" s="5">
        <v>0</v>
      </c>
      <c r="B1045" s="6" t="s">
        <v>6703</v>
      </c>
      <c r="C1045" s="7">
        <v>1584</v>
      </c>
      <c r="D1045" s="8" t="s">
        <v>6704</v>
      </c>
      <c r="E1045" s="8" t="s">
        <v>6705</v>
      </c>
      <c r="F1045" s="8" t="s">
        <v>3394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336</v>
      </c>
      <c r="L1045" s="9">
        <v>2024</v>
      </c>
      <c r="M1045" s="8" t="s">
        <v>6706</v>
      </c>
      <c r="N1045" s="8" t="s">
        <v>41</v>
      </c>
      <c r="O1045" s="8" t="s">
        <v>160</v>
      </c>
      <c r="P1045" s="6" t="s">
        <v>70</v>
      </c>
      <c r="Q1045" s="8" t="s">
        <v>44</v>
      </c>
      <c r="R1045" s="10" t="s">
        <v>6701</v>
      </c>
      <c r="S1045" s="11" t="s">
        <v>6707</v>
      </c>
      <c r="T1045" s="6"/>
      <c r="U1045" s="28" t="str">
        <f>HYPERLINK("https://media.infra-m.ru/2138/2138202/cover/2138202.jpg", "Обложка")</f>
        <v>Обложка</v>
      </c>
      <c r="V1045" s="28" t="str">
        <f>HYPERLINK("https://znanium.ru/catalog/product/2022257", "Ознакомиться")</f>
        <v>Ознакомиться</v>
      </c>
      <c r="W1045" s="8" t="s">
        <v>163</v>
      </c>
      <c r="X1045" s="6"/>
      <c r="Y1045" s="6"/>
      <c r="Z1045" s="6"/>
      <c r="AA1045" s="6" t="s">
        <v>1519</v>
      </c>
    </row>
    <row r="1046" spans="1:27" s="4" customFormat="1" ht="51.95" customHeight="1">
      <c r="A1046" s="5">
        <v>0</v>
      </c>
      <c r="B1046" s="6" t="s">
        <v>6708</v>
      </c>
      <c r="C1046" s="7">
        <v>1254</v>
      </c>
      <c r="D1046" s="8" t="s">
        <v>6709</v>
      </c>
      <c r="E1046" s="8" t="s">
        <v>6710</v>
      </c>
      <c r="F1046" s="8" t="s">
        <v>241</v>
      </c>
      <c r="G1046" s="6" t="s">
        <v>37</v>
      </c>
      <c r="H1046" s="6" t="s">
        <v>38</v>
      </c>
      <c r="I1046" s="8" t="s">
        <v>56</v>
      </c>
      <c r="J1046" s="9">
        <v>1</v>
      </c>
      <c r="K1046" s="9">
        <v>272</v>
      </c>
      <c r="L1046" s="9">
        <v>2024</v>
      </c>
      <c r="M1046" s="8" t="s">
        <v>6711</v>
      </c>
      <c r="N1046" s="8" t="s">
        <v>41</v>
      </c>
      <c r="O1046" s="8" t="s">
        <v>1222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HYPERLINK("https://media.infra-m.ru/2066/2066472/cover/2066472.jpg", "Обложка")</f>
        <v>Обложка</v>
      </c>
      <c r="V1046" s="28" t="str">
        <f>HYPERLINK("https://znanium.ru/catalog/product/1834707", "Ознакомиться")</f>
        <v>Ознакомиться</v>
      </c>
      <c r="W1046" s="8" t="s">
        <v>244</v>
      </c>
      <c r="X1046" s="6"/>
      <c r="Y1046" s="6"/>
      <c r="Z1046" s="6"/>
      <c r="AA1046" s="6" t="s">
        <v>288</v>
      </c>
    </row>
    <row r="1047" spans="1:27" s="4" customFormat="1" ht="51.95" customHeight="1">
      <c r="A1047" s="5">
        <v>0</v>
      </c>
      <c r="B1047" s="6" t="s">
        <v>6714</v>
      </c>
      <c r="C1047" s="13">
        <v>794.9</v>
      </c>
      <c r="D1047" s="8" t="s">
        <v>6715</v>
      </c>
      <c r="E1047" s="8" t="s">
        <v>6716</v>
      </c>
      <c r="F1047" s="8" t="s">
        <v>6717</v>
      </c>
      <c r="G1047" s="6" t="s">
        <v>37</v>
      </c>
      <c r="H1047" s="6" t="s">
        <v>79</v>
      </c>
      <c r="I1047" s="8" t="s">
        <v>39</v>
      </c>
      <c r="J1047" s="9">
        <v>1</v>
      </c>
      <c r="K1047" s="9">
        <v>176</v>
      </c>
      <c r="L1047" s="9">
        <v>2023</v>
      </c>
      <c r="M1047" s="8" t="s">
        <v>6718</v>
      </c>
      <c r="N1047" s="8" t="s">
        <v>118</v>
      </c>
      <c r="O1047" s="8" t="s">
        <v>119</v>
      </c>
      <c r="P1047" s="6" t="s">
        <v>43</v>
      </c>
      <c r="Q1047" s="8" t="s">
        <v>44</v>
      </c>
      <c r="R1047" s="10" t="s">
        <v>739</v>
      </c>
      <c r="S1047" s="11" t="s">
        <v>6719</v>
      </c>
      <c r="T1047" s="6"/>
      <c r="U1047" s="28" t="str">
        <f>HYPERLINK("https://media.infra-m.ru/1896/1896431/cover/1896431.jpg", "Обложка")</f>
        <v>Обложка</v>
      </c>
      <c r="V1047" s="28" t="str">
        <f>HYPERLINK("https://znanium.ru/catalog/product/1871022", "Ознакомиться")</f>
        <v>Ознакомиться</v>
      </c>
      <c r="W1047" s="8" t="s">
        <v>508</v>
      </c>
      <c r="X1047" s="6"/>
      <c r="Y1047" s="6"/>
      <c r="Z1047" s="6" t="s">
        <v>48</v>
      </c>
      <c r="AA1047" s="6" t="s">
        <v>524</v>
      </c>
    </row>
    <row r="1048" spans="1:27" s="4" customFormat="1" ht="51.95" customHeight="1">
      <c r="A1048" s="5">
        <v>0</v>
      </c>
      <c r="B1048" s="6" t="s">
        <v>6720</v>
      </c>
      <c r="C1048" s="7">
        <v>1084.9000000000001</v>
      </c>
      <c r="D1048" s="8" t="s">
        <v>6721</v>
      </c>
      <c r="E1048" s="8" t="s">
        <v>6722</v>
      </c>
      <c r="F1048" s="8" t="s">
        <v>6723</v>
      </c>
      <c r="G1048" s="6" t="s">
        <v>37</v>
      </c>
      <c r="H1048" s="6" t="s">
        <v>79</v>
      </c>
      <c r="I1048" s="8" t="s">
        <v>39</v>
      </c>
      <c r="J1048" s="9">
        <v>1</v>
      </c>
      <c r="K1048" s="9">
        <v>240</v>
      </c>
      <c r="L1048" s="9">
        <v>2023</v>
      </c>
      <c r="M1048" s="8" t="s">
        <v>6724</v>
      </c>
      <c r="N1048" s="8" t="s">
        <v>118</v>
      </c>
      <c r="O1048" s="8" t="s">
        <v>119</v>
      </c>
      <c r="P1048" s="6" t="s">
        <v>43</v>
      </c>
      <c r="Q1048" s="8" t="s">
        <v>44</v>
      </c>
      <c r="R1048" s="10" t="s">
        <v>4668</v>
      </c>
      <c r="S1048" s="11" t="s">
        <v>6725</v>
      </c>
      <c r="T1048" s="6"/>
      <c r="U1048" s="28" t="str">
        <f>HYPERLINK("https://media.infra-m.ru/2049/2049720/cover/2049720.jpg", "Обложка")</f>
        <v>Обложка</v>
      </c>
      <c r="V1048" s="28" t="str">
        <f>HYPERLINK("https://znanium.ru/catalog/product/1046389", "Ознакомиться")</f>
        <v>Ознакомиться</v>
      </c>
      <c r="W1048" s="8" t="s">
        <v>6726</v>
      </c>
      <c r="X1048" s="6"/>
      <c r="Y1048" s="6"/>
      <c r="Z1048" s="6" t="s">
        <v>48</v>
      </c>
      <c r="AA1048" s="6" t="s">
        <v>213</v>
      </c>
    </row>
    <row r="1049" spans="1:27" s="4" customFormat="1" ht="51.95" customHeight="1">
      <c r="A1049" s="5">
        <v>0</v>
      </c>
      <c r="B1049" s="6" t="s">
        <v>6727</v>
      </c>
      <c r="C1049" s="7">
        <v>2144</v>
      </c>
      <c r="D1049" s="8" t="s">
        <v>6728</v>
      </c>
      <c r="E1049" s="8" t="s">
        <v>6722</v>
      </c>
      <c r="F1049" s="8" t="s">
        <v>6729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576</v>
      </c>
      <c r="L1049" s="9">
        <v>2023</v>
      </c>
      <c r="M1049" s="8" t="s">
        <v>6730</v>
      </c>
      <c r="N1049" s="8" t="s">
        <v>118</v>
      </c>
      <c r="O1049" s="8" t="s">
        <v>119</v>
      </c>
      <c r="P1049" s="6" t="s">
        <v>70</v>
      </c>
      <c r="Q1049" s="8" t="s">
        <v>44</v>
      </c>
      <c r="R1049" s="10" t="s">
        <v>4668</v>
      </c>
      <c r="S1049" s="11" t="s">
        <v>6731</v>
      </c>
      <c r="T1049" s="6"/>
      <c r="U1049" s="28" t="str">
        <f>HYPERLINK("https://media.infra-m.ru/2021/2021444/cover/2021444.jpg", "Обложка")</f>
        <v>Обложка</v>
      </c>
      <c r="V1049" s="28" t="str">
        <f>HYPERLINK("https://znanium.ru/catalog/product/961708", "Ознакомиться")</f>
        <v>Ознакомиться</v>
      </c>
      <c r="W1049" s="8" t="s">
        <v>6732</v>
      </c>
      <c r="X1049" s="6"/>
      <c r="Y1049" s="6"/>
      <c r="Z1049" s="6" t="s">
        <v>48</v>
      </c>
      <c r="AA1049" s="6" t="s">
        <v>656</v>
      </c>
    </row>
    <row r="1050" spans="1:27" s="4" customFormat="1" ht="51.95" customHeight="1">
      <c r="A1050" s="5">
        <v>0</v>
      </c>
      <c r="B1050" s="6" t="s">
        <v>6733</v>
      </c>
      <c r="C1050" s="13">
        <v>590</v>
      </c>
      <c r="D1050" s="8" t="s">
        <v>6734</v>
      </c>
      <c r="E1050" s="8" t="s">
        <v>6735</v>
      </c>
      <c r="F1050" s="8" t="s">
        <v>6736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136</v>
      </c>
      <c r="L1050" s="9">
        <v>2022</v>
      </c>
      <c r="M1050" s="8" t="s">
        <v>6737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6738</v>
      </c>
      <c r="S1050" s="11" t="s">
        <v>6739</v>
      </c>
      <c r="T1050" s="6"/>
      <c r="U1050" s="28" t="str">
        <f>HYPERLINK("https://media.infra-m.ru/1865/1865779/cover/1865779.jpg", "Обложка")</f>
        <v>Обложка</v>
      </c>
      <c r="V1050" s="28" t="str">
        <f>HYPERLINK("https://znanium.ru/catalog/product/1865779", "Ознакомиться")</f>
        <v>Ознакомиться</v>
      </c>
      <c r="W1050" s="8" t="s">
        <v>533</v>
      </c>
      <c r="X1050" s="6"/>
      <c r="Y1050" s="6"/>
      <c r="Z1050" s="6" t="s">
        <v>48</v>
      </c>
      <c r="AA1050" s="6" t="s">
        <v>213</v>
      </c>
    </row>
    <row r="1051" spans="1:27" s="4" customFormat="1" ht="51.95" customHeight="1">
      <c r="A1051" s="5">
        <v>0</v>
      </c>
      <c r="B1051" s="6" t="s">
        <v>6740</v>
      </c>
      <c r="C1051" s="7">
        <v>2094</v>
      </c>
      <c r="D1051" s="8" t="s">
        <v>6741</v>
      </c>
      <c r="E1051" s="8" t="s">
        <v>6742</v>
      </c>
      <c r="F1051" s="8" t="s">
        <v>6743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448</v>
      </c>
      <c r="L1051" s="9">
        <v>2024</v>
      </c>
      <c r="M1051" s="8" t="s">
        <v>6744</v>
      </c>
      <c r="N1051" s="8" t="s">
        <v>118</v>
      </c>
      <c r="O1051" s="8" t="s">
        <v>119</v>
      </c>
      <c r="P1051" s="6" t="s">
        <v>70</v>
      </c>
      <c r="Q1051" s="8" t="s">
        <v>44</v>
      </c>
      <c r="R1051" s="10" t="s">
        <v>6745</v>
      </c>
      <c r="S1051" s="11" t="s">
        <v>6746</v>
      </c>
      <c r="T1051" s="6"/>
      <c r="U1051" s="28" t="str">
        <f>HYPERLINK("https://media.infra-m.ru/2152/2152110/cover/2152110.jpg", "Обложка")</f>
        <v>Обложка</v>
      </c>
      <c r="V1051" s="28" t="str">
        <f>HYPERLINK("https://znanium.ru/catalog/product/1046426", "Ознакомиться")</f>
        <v>Ознакомиться</v>
      </c>
      <c r="W1051" s="8" t="s">
        <v>6747</v>
      </c>
      <c r="X1051" s="6"/>
      <c r="Y1051" s="6"/>
      <c r="Z1051" s="6" t="s">
        <v>48</v>
      </c>
      <c r="AA1051" s="6" t="s">
        <v>414</v>
      </c>
    </row>
    <row r="1052" spans="1:27" s="4" customFormat="1" ht="51.95" customHeight="1">
      <c r="A1052" s="5">
        <v>0</v>
      </c>
      <c r="B1052" s="6" t="s">
        <v>6748</v>
      </c>
      <c r="C1052" s="13">
        <v>910</v>
      </c>
      <c r="D1052" s="8" t="s">
        <v>6749</v>
      </c>
      <c r="E1052" s="8" t="s">
        <v>6750</v>
      </c>
      <c r="F1052" s="8" t="s">
        <v>6751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265</v>
      </c>
      <c r="L1052" s="9">
        <v>2020</v>
      </c>
      <c r="M1052" s="8" t="s">
        <v>6752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6745</v>
      </c>
      <c r="S1052" s="11" t="s">
        <v>6746</v>
      </c>
      <c r="T1052" s="6" t="s">
        <v>110</v>
      </c>
      <c r="U1052" s="28" t="str">
        <f>HYPERLINK("https://media.infra-m.ru/1046/1046411/cover/1046411.jpg", "Обложка")</f>
        <v>Обложка</v>
      </c>
      <c r="V1052" s="28" t="str">
        <f>HYPERLINK("https://znanium.ru/catalog/product/1046411", "Ознакомиться")</f>
        <v>Ознакомиться</v>
      </c>
      <c r="W1052" s="8" t="s">
        <v>6726</v>
      </c>
      <c r="X1052" s="6"/>
      <c r="Y1052" s="6"/>
      <c r="Z1052" s="6" t="s">
        <v>48</v>
      </c>
      <c r="AA1052" s="6" t="s">
        <v>414</v>
      </c>
    </row>
    <row r="1053" spans="1:27" s="4" customFormat="1" ht="42" customHeight="1">
      <c r="A1053" s="5">
        <v>0</v>
      </c>
      <c r="B1053" s="6" t="s">
        <v>6753</v>
      </c>
      <c r="C1053" s="13">
        <v>493</v>
      </c>
      <c r="D1053" s="8" t="s">
        <v>6754</v>
      </c>
      <c r="E1053" s="8" t="s">
        <v>6755</v>
      </c>
      <c r="F1053" s="8" t="s">
        <v>6054</v>
      </c>
      <c r="G1053" s="6" t="s">
        <v>54</v>
      </c>
      <c r="H1053" s="6" t="s">
        <v>55</v>
      </c>
      <c r="I1053" s="8" t="s">
        <v>56</v>
      </c>
      <c r="J1053" s="9">
        <v>1</v>
      </c>
      <c r="K1053" s="9">
        <v>156</v>
      </c>
      <c r="L1053" s="9">
        <v>2023</v>
      </c>
      <c r="M1053" s="8" t="s">
        <v>6756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739</v>
      </c>
      <c r="S1053" s="11"/>
      <c r="T1053" s="6"/>
      <c r="U1053" s="28" t="str">
        <f>HYPERLINK("https://media.infra-m.ru/2022/2022260/cover/2022260.jpg", "Обложка")</f>
        <v>Обложка</v>
      </c>
      <c r="V1053" s="28" t="str">
        <f>HYPERLINK("https://znanium.ru/catalog/product/2022260", "Ознакомиться")</f>
        <v>Ознакомиться</v>
      </c>
      <c r="W1053" s="8" t="s">
        <v>365</v>
      </c>
      <c r="X1053" s="6"/>
      <c r="Y1053" s="6"/>
      <c r="Z1053" s="6"/>
      <c r="AA1053" s="6" t="s">
        <v>1358</v>
      </c>
    </row>
    <row r="1054" spans="1:27" s="4" customFormat="1" ht="51.95" customHeight="1">
      <c r="A1054" s="5">
        <v>0</v>
      </c>
      <c r="B1054" s="6" t="s">
        <v>6757</v>
      </c>
      <c r="C1054" s="7">
        <v>1620</v>
      </c>
      <c r="D1054" s="8" t="s">
        <v>6758</v>
      </c>
      <c r="E1054" s="8" t="s">
        <v>6759</v>
      </c>
      <c r="F1054" s="8" t="s">
        <v>2885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265</v>
      </c>
      <c r="L1054" s="9">
        <v>2024</v>
      </c>
      <c r="M1054" s="8" t="s">
        <v>6760</v>
      </c>
      <c r="N1054" s="8" t="s">
        <v>118</v>
      </c>
      <c r="O1054" s="8" t="s">
        <v>119</v>
      </c>
      <c r="P1054" s="6" t="s">
        <v>43</v>
      </c>
      <c r="Q1054" s="8" t="s">
        <v>44</v>
      </c>
      <c r="R1054" s="10" t="s">
        <v>4668</v>
      </c>
      <c r="S1054" s="11" t="s">
        <v>6761</v>
      </c>
      <c r="T1054" s="6"/>
      <c r="U1054" s="28" t="str">
        <f>HYPERLINK("https://media.infra-m.ru/2139/2139038/cover/2139038.jpg", "Обложка")</f>
        <v>Обложка</v>
      </c>
      <c r="V1054" s="28" t="str">
        <f>HYPERLINK("https://znanium.ru/catalog/product/2139038", "Ознакомиться")</f>
        <v>Ознакомиться</v>
      </c>
      <c r="W1054" s="8" t="s">
        <v>2889</v>
      </c>
      <c r="X1054" s="6"/>
      <c r="Y1054" s="6"/>
      <c r="Z1054" s="6" t="s">
        <v>48</v>
      </c>
      <c r="AA1054" s="6" t="s">
        <v>94</v>
      </c>
    </row>
    <row r="1055" spans="1:27" s="4" customFormat="1" ht="51.95" customHeight="1">
      <c r="A1055" s="5">
        <v>0</v>
      </c>
      <c r="B1055" s="6" t="s">
        <v>6762</v>
      </c>
      <c r="C1055" s="7">
        <v>1870</v>
      </c>
      <c r="D1055" s="8" t="s">
        <v>6763</v>
      </c>
      <c r="E1055" s="8" t="s">
        <v>6764</v>
      </c>
      <c r="F1055" s="8" t="s">
        <v>6765</v>
      </c>
      <c r="G1055" s="6" t="s">
        <v>66</v>
      </c>
      <c r="H1055" s="6" t="s">
        <v>79</v>
      </c>
      <c r="I1055" s="8" t="s">
        <v>39</v>
      </c>
      <c r="J1055" s="9">
        <v>1</v>
      </c>
      <c r="K1055" s="9">
        <v>398</v>
      </c>
      <c r="L1055" s="9">
        <v>2024</v>
      </c>
      <c r="M1055" s="8" t="s">
        <v>6766</v>
      </c>
      <c r="N1055" s="8" t="s">
        <v>118</v>
      </c>
      <c r="O1055" s="8" t="s">
        <v>119</v>
      </c>
      <c r="P1055" s="6" t="s">
        <v>43</v>
      </c>
      <c r="Q1055" s="8" t="s">
        <v>44</v>
      </c>
      <c r="R1055" s="10" t="s">
        <v>2766</v>
      </c>
      <c r="S1055" s="11" t="s">
        <v>6767</v>
      </c>
      <c r="T1055" s="6"/>
      <c r="U1055" s="28" t="str">
        <f>HYPERLINK("https://media.infra-m.ru/2140/2140338/cover/2140338.jpg", "Обложка")</f>
        <v>Обложка</v>
      </c>
      <c r="V1055" s="28" t="str">
        <f>HYPERLINK("https://znanium.ru/catalog/product/2140338", "Ознакомиться")</f>
        <v>Ознакомиться</v>
      </c>
      <c r="W1055" s="8" t="s">
        <v>1048</v>
      </c>
      <c r="X1055" s="6"/>
      <c r="Y1055" s="6"/>
      <c r="Z1055" s="6"/>
      <c r="AA1055" s="6" t="s">
        <v>221</v>
      </c>
    </row>
    <row r="1056" spans="1:27" s="4" customFormat="1" ht="51.95" customHeight="1">
      <c r="A1056" s="5">
        <v>0</v>
      </c>
      <c r="B1056" s="6" t="s">
        <v>6768</v>
      </c>
      <c r="C1056" s="7">
        <v>2537</v>
      </c>
      <c r="D1056" s="8" t="s">
        <v>6769</v>
      </c>
      <c r="E1056" s="8" t="s">
        <v>6770</v>
      </c>
      <c r="F1056" s="8" t="s">
        <v>6771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425</v>
      </c>
      <c r="L1056" s="9">
        <v>2024</v>
      </c>
      <c r="M1056" s="8" t="s">
        <v>6772</v>
      </c>
      <c r="N1056" s="8" t="s">
        <v>41</v>
      </c>
      <c r="O1056" s="8" t="s">
        <v>227</v>
      </c>
      <c r="P1056" s="6" t="s">
        <v>70</v>
      </c>
      <c r="Q1056" s="8" t="s">
        <v>44</v>
      </c>
      <c r="R1056" s="10" t="s">
        <v>6773</v>
      </c>
      <c r="S1056" s="11" t="s">
        <v>6774</v>
      </c>
      <c r="T1056" s="6"/>
      <c r="U1056" s="28" t="str">
        <f>HYPERLINK("https://media.infra-m.ru/2125/2125618/cover/2125618.jpg", "Обложка")</f>
        <v>Обложка</v>
      </c>
      <c r="V1056" s="28" t="str">
        <f>HYPERLINK("https://znanium.ru/catalog/product/1138858", "Ознакомиться")</f>
        <v>Ознакомиться</v>
      </c>
      <c r="W1056" s="8" t="s">
        <v>277</v>
      </c>
      <c r="X1056" s="6"/>
      <c r="Y1056" s="6" t="s">
        <v>30</v>
      </c>
      <c r="Z1056" s="6" t="s">
        <v>48</v>
      </c>
      <c r="AA1056" s="6" t="s">
        <v>94</v>
      </c>
    </row>
    <row r="1057" spans="1:27" s="4" customFormat="1" ht="42" customHeight="1">
      <c r="A1057" s="5">
        <v>0</v>
      </c>
      <c r="B1057" s="6" t="s">
        <v>6775</v>
      </c>
      <c r="C1057" s="7">
        <v>1590</v>
      </c>
      <c r="D1057" s="8" t="s">
        <v>6776</v>
      </c>
      <c r="E1057" s="8" t="s">
        <v>6777</v>
      </c>
      <c r="F1057" s="8" t="s">
        <v>6778</v>
      </c>
      <c r="G1057" s="6" t="s">
        <v>37</v>
      </c>
      <c r="H1057" s="6" t="s">
        <v>79</v>
      </c>
      <c r="I1057" s="8" t="s">
        <v>39</v>
      </c>
      <c r="J1057" s="9">
        <v>1</v>
      </c>
      <c r="K1057" s="9">
        <v>331</v>
      </c>
      <c r="L1057" s="9">
        <v>2023</v>
      </c>
      <c r="M1057" s="8" t="s">
        <v>6779</v>
      </c>
      <c r="N1057" s="8" t="s">
        <v>118</v>
      </c>
      <c r="O1057" s="8" t="s">
        <v>336</v>
      </c>
      <c r="P1057" s="6" t="s">
        <v>70</v>
      </c>
      <c r="Q1057" s="8" t="s">
        <v>44</v>
      </c>
      <c r="R1057" s="10" t="s">
        <v>6780</v>
      </c>
      <c r="S1057" s="11"/>
      <c r="T1057" s="6"/>
      <c r="U1057" s="28" t="str">
        <f>HYPERLINK("https://media.infra-m.ru/1908/1908962/cover/1908962.jpg", "Обложка")</f>
        <v>Обложка</v>
      </c>
      <c r="V1057" s="28" t="str">
        <f>HYPERLINK("https://znanium.ru/catalog/product/1908962", "Ознакомиться")</f>
        <v>Ознакомиться</v>
      </c>
      <c r="W1057" s="8" t="s">
        <v>5150</v>
      </c>
      <c r="X1057" s="6" t="s">
        <v>338</v>
      </c>
      <c r="Y1057" s="6"/>
      <c r="Z1057" s="6"/>
      <c r="AA1057" s="6" t="s">
        <v>85</v>
      </c>
    </row>
    <row r="1058" spans="1:27" s="4" customFormat="1" ht="51.95" customHeight="1">
      <c r="A1058" s="5">
        <v>0</v>
      </c>
      <c r="B1058" s="6" t="s">
        <v>6781</v>
      </c>
      <c r="C1058" s="7">
        <v>1430</v>
      </c>
      <c r="D1058" s="8" t="s">
        <v>6782</v>
      </c>
      <c r="E1058" s="8" t="s">
        <v>6777</v>
      </c>
      <c r="F1058" s="8" t="s">
        <v>5052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316</v>
      </c>
      <c r="L1058" s="9">
        <v>2023</v>
      </c>
      <c r="M1058" s="8" t="s">
        <v>6783</v>
      </c>
      <c r="N1058" s="8" t="s">
        <v>118</v>
      </c>
      <c r="O1058" s="8" t="s">
        <v>336</v>
      </c>
      <c r="P1058" s="6" t="s">
        <v>43</v>
      </c>
      <c r="Q1058" s="8" t="s">
        <v>44</v>
      </c>
      <c r="R1058" s="10" t="s">
        <v>91</v>
      </c>
      <c r="S1058" s="11" t="s">
        <v>6784</v>
      </c>
      <c r="T1058" s="6"/>
      <c r="U1058" s="28" t="str">
        <f>HYPERLINK("https://media.infra-m.ru/1932/1932343/cover/1932343.jpg", "Обложка")</f>
        <v>Обложка</v>
      </c>
      <c r="V1058" s="28" t="str">
        <f>HYPERLINK("https://znanium.ru/catalog/product/1932343", "Ознакомиться")</f>
        <v>Ознакомиться</v>
      </c>
      <c r="W1058" s="8" t="s">
        <v>359</v>
      </c>
      <c r="X1058" s="6"/>
      <c r="Y1058" s="6"/>
      <c r="Z1058" s="6"/>
      <c r="AA1058" s="6" t="s">
        <v>656</v>
      </c>
    </row>
    <row r="1059" spans="1:27" s="4" customFormat="1" ht="51.95" customHeight="1">
      <c r="A1059" s="5">
        <v>0</v>
      </c>
      <c r="B1059" s="6" t="s">
        <v>6785</v>
      </c>
      <c r="C1059" s="13">
        <v>520</v>
      </c>
      <c r="D1059" s="8" t="s">
        <v>6786</v>
      </c>
      <c r="E1059" s="8" t="s">
        <v>6787</v>
      </c>
      <c r="F1059" s="8" t="s">
        <v>6788</v>
      </c>
      <c r="G1059" s="6" t="s">
        <v>54</v>
      </c>
      <c r="H1059" s="6" t="s">
        <v>38</v>
      </c>
      <c r="I1059" s="8" t="s">
        <v>39</v>
      </c>
      <c r="J1059" s="9">
        <v>1</v>
      </c>
      <c r="K1059" s="9">
        <v>112</v>
      </c>
      <c r="L1059" s="9">
        <v>2023</v>
      </c>
      <c r="M1059" s="8" t="s">
        <v>6789</v>
      </c>
      <c r="N1059" s="8" t="s">
        <v>118</v>
      </c>
      <c r="O1059" s="8" t="s">
        <v>1459</v>
      </c>
      <c r="P1059" s="6" t="s">
        <v>58</v>
      </c>
      <c r="Q1059" s="8" t="s">
        <v>44</v>
      </c>
      <c r="R1059" s="10" t="s">
        <v>905</v>
      </c>
      <c r="S1059" s="11" t="s">
        <v>609</v>
      </c>
      <c r="T1059" s="6"/>
      <c r="U1059" s="28" t="str">
        <f>HYPERLINK("https://media.infra-m.ru/1986/1986564/cover/1986564.jpg", "Обложка")</f>
        <v>Обложка</v>
      </c>
      <c r="V1059" s="28" t="str">
        <f>HYPERLINK("https://znanium.ru/catalog/product/1986564", "Ознакомиться")</f>
        <v>Ознакомиться</v>
      </c>
      <c r="W1059" s="8" t="s">
        <v>73</v>
      </c>
      <c r="X1059" s="6"/>
      <c r="Y1059" s="6"/>
      <c r="Z1059" s="6" t="s">
        <v>48</v>
      </c>
      <c r="AA1059" s="6" t="s">
        <v>122</v>
      </c>
    </row>
    <row r="1060" spans="1:27" s="4" customFormat="1" ht="51.95" customHeight="1">
      <c r="A1060" s="5">
        <v>0</v>
      </c>
      <c r="B1060" s="6" t="s">
        <v>6790</v>
      </c>
      <c r="C1060" s="7">
        <v>1110</v>
      </c>
      <c r="D1060" s="8" t="s">
        <v>6791</v>
      </c>
      <c r="E1060" s="8" t="s">
        <v>6792</v>
      </c>
      <c r="F1060" s="8" t="s">
        <v>1375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241</v>
      </c>
      <c r="L1060" s="9">
        <v>2024</v>
      </c>
      <c r="M1060" s="8" t="s">
        <v>6793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6794</v>
      </c>
      <c r="S1060" s="11" t="s">
        <v>6795</v>
      </c>
      <c r="T1060" s="6" t="s">
        <v>110</v>
      </c>
      <c r="U1060" s="28" t="str">
        <f>HYPERLINK("https://media.infra-m.ru/2107/2107426/cover/2107426.jpg", "Обложка")</f>
        <v>Обложка</v>
      </c>
      <c r="V1060" s="28" t="str">
        <f>HYPERLINK("https://znanium.ru/catalog/product/2107426", "Ознакомиться")</f>
        <v>Ознакомиться</v>
      </c>
      <c r="W1060" s="8" t="s">
        <v>1378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6796</v>
      </c>
      <c r="C1061" s="7">
        <v>1390</v>
      </c>
      <c r="D1061" s="8" t="s">
        <v>6797</v>
      </c>
      <c r="E1061" s="8" t="s">
        <v>6798</v>
      </c>
      <c r="F1061" s="8" t="s">
        <v>6799</v>
      </c>
      <c r="G1061" s="6" t="s">
        <v>66</v>
      </c>
      <c r="H1061" s="6" t="s">
        <v>38</v>
      </c>
      <c r="I1061" s="8" t="s">
        <v>39</v>
      </c>
      <c r="J1061" s="9">
        <v>1</v>
      </c>
      <c r="K1061" s="9">
        <v>303</v>
      </c>
      <c r="L1061" s="9">
        <v>2023</v>
      </c>
      <c r="M1061" s="8" t="s">
        <v>6800</v>
      </c>
      <c r="N1061" s="8" t="s">
        <v>41</v>
      </c>
      <c r="O1061" s="8" t="s">
        <v>227</v>
      </c>
      <c r="P1061" s="6" t="s">
        <v>70</v>
      </c>
      <c r="Q1061" s="8" t="s">
        <v>44</v>
      </c>
      <c r="R1061" s="10" t="s">
        <v>6801</v>
      </c>
      <c r="S1061" s="11" t="s">
        <v>6802</v>
      </c>
      <c r="T1061" s="6"/>
      <c r="U1061" s="28" t="str">
        <f>HYPERLINK("https://media.infra-m.ru/2013/2013715/cover/2013715.jpg", "Обложка")</f>
        <v>Обложка</v>
      </c>
      <c r="V1061" s="28" t="str">
        <f>HYPERLINK("https://znanium.ru/catalog/product/2013715", "Ознакомиться")</f>
        <v>Ознакомиться</v>
      </c>
      <c r="W1061" s="8" t="s">
        <v>172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6803</v>
      </c>
      <c r="C1062" s="7">
        <v>2980</v>
      </c>
      <c r="D1062" s="8" t="s">
        <v>6804</v>
      </c>
      <c r="E1062" s="8" t="s">
        <v>6805</v>
      </c>
      <c r="F1062" s="8" t="s">
        <v>6806</v>
      </c>
      <c r="G1062" s="6" t="s">
        <v>37</v>
      </c>
      <c r="H1062" s="6" t="s">
        <v>55</v>
      </c>
      <c r="I1062" s="8" t="s">
        <v>56</v>
      </c>
      <c r="J1062" s="9">
        <v>1</v>
      </c>
      <c r="K1062" s="9">
        <v>700</v>
      </c>
      <c r="L1062" s="9">
        <v>2023</v>
      </c>
      <c r="M1062" s="8" t="s">
        <v>6807</v>
      </c>
      <c r="N1062" s="8" t="s">
        <v>118</v>
      </c>
      <c r="O1062" s="8" t="s">
        <v>336</v>
      </c>
      <c r="P1062" s="6" t="s">
        <v>70</v>
      </c>
      <c r="Q1062" s="8" t="s">
        <v>44</v>
      </c>
      <c r="R1062" s="10" t="s">
        <v>91</v>
      </c>
      <c r="S1062" s="11" t="s">
        <v>6808</v>
      </c>
      <c r="T1062" s="6"/>
      <c r="U1062" s="28" t="str">
        <f>HYPERLINK("https://media.infra-m.ru/1844/1844603/cover/1844603.jpg", "Обложка")</f>
        <v>Обложка</v>
      </c>
      <c r="V1062" s="12"/>
      <c r="W1062" s="8" t="s">
        <v>6809</v>
      </c>
      <c r="X1062" s="6"/>
      <c r="Y1062" s="6"/>
      <c r="Z1062" s="6" t="s">
        <v>687</v>
      </c>
      <c r="AA1062" s="6" t="s">
        <v>85</v>
      </c>
    </row>
    <row r="1063" spans="1:27" s="4" customFormat="1" ht="51.95" customHeight="1">
      <c r="A1063" s="5">
        <v>0</v>
      </c>
      <c r="B1063" s="6" t="s">
        <v>6810</v>
      </c>
      <c r="C1063" s="7">
        <v>2390</v>
      </c>
      <c r="D1063" s="8" t="s">
        <v>6811</v>
      </c>
      <c r="E1063" s="8" t="s">
        <v>6812</v>
      </c>
      <c r="F1063" s="8" t="s">
        <v>6813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532</v>
      </c>
      <c r="L1063" s="9">
        <v>2023</v>
      </c>
      <c r="M1063" s="8" t="s">
        <v>6814</v>
      </c>
      <c r="N1063" s="8" t="s">
        <v>118</v>
      </c>
      <c r="O1063" s="8" t="s">
        <v>336</v>
      </c>
      <c r="P1063" s="6" t="s">
        <v>70</v>
      </c>
      <c r="Q1063" s="8" t="s">
        <v>44</v>
      </c>
      <c r="R1063" s="10" t="s">
        <v>91</v>
      </c>
      <c r="S1063" s="11" t="s">
        <v>6815</v>
      </c>
      <c r="T1063" s="6"/>
      <c r="U1063" s="28" t="str">
        <f>HYPERLINK("https://media.infra-m.ru/1932/1932344/cover/1932344.jpg", "Обложка")</f>
        <v>Обложка</v>
      </c>
      <c r="V1063" s="28" t="str">
        <f>HYPERLINK("https://znanium.ru/catalog/product/1932344", "Ознакомиться")</f>
        <v>Ознакомиться</v>
      </c>
      <c r="W1063" s="8" t="s">
        <v>6816</v>
      </c>
      <c r="X1063" s="6"/>
      <c r="Y1063" s="6"/>
      <c r="Z1063" s="6" t="s">
        <v>48</v>
      </c>
      <c r="AA1063" s="6" t="s">
        <v>475</v>
      </c>
    </row>
    <row r="1064" spans="1:27" s="4" customFormat="1" ht="51.95" customHeight="1">
      <c r="A1064" s="5">
        <v>0</v>
      </c>
      <c r="B1064" s="6" t="s">
        <v>6817</v>
      </c>
      <c r="C1064" s="7">
        <v>2620</v>
      </c>
      <c r="D1064" s="8" t="s">
        <v>6818</v>
      </c>
      <c r="E1064" s="8" t="s">
        <v>6819</v>
      </c>
      <c r="F1064" s="8" t="s">
        <v>6820</v>
      </c>
      <c r="G1064" s="6" t="s">
        <v>37</v>
      </c>
      <c r="H1064" s="6" t="s">
        <v>79</v>
      </c>
      <c r="I1064" s="8" t="s">
        <v>39</v>
      </c>
      <c r="J1064" s="9">
        <v>1</v>
      </c>
      <c r="K1064" s="9">
        <v>583</v>
      </c>
      <c r="L1064" s="9">
        <v>2023</v>
      </c>
      <c r="M1064" s="8" t="s">
        <v>6821</v>
      </c>
      <c r="N1064" s="8" t="s">
        <v>118</v>
      </c>
      <c r="O1064" s="8" t="s">
        <v>336</v>
      </c>
      <c r="P1064" s="6" t="s">
        <v>70</v>
      </c>
      <c r="Q1064" s="8" t="s">
        <v>44</v>
      </c>
      <c r="R1064" s="10" t="s">
        <v>91</v>
      </c>
      <c r="S1064" s="11" t="s">
        <v>6815</v>
      </c>
      <c r="T1064" s="6"/>
      <c r="U1064" s="28" t="str">
        <f>HYPERLINK("https://media.infra-m.ru/2008/2008689/cover/2008689.jpg", "Обложка")</f>
        <v>Обложка</v>
      </c>
      <c r="V1064" s="28" t="str">
        <f>HYPERLINK("https://znanium.ru/catalog/product/2008689", "Ознакомиться")</f>
        <v>Ознакомиться</v>
      </c>
      <c r="W1064" s="8" t="s">
        <v>2471</v>
      </c>
      <c r="X1064" s="6"/>
      <c r="Y1064" s="6"/>
      <c r="Z1064" s="6" t="s">
        <v>48</v>
      </c>
      <c r="AA1064" s="6" t="s">
        <v>85</v>
      </c>
    </row>
    <row r="1065" spans="1:27" s="4" customFormat="1" ht="51.95" customHeight="1">
      <c r="A1065" s="5">
        <v>0</v>
      </c>
      <c r="B1065" s="6" t="s">
        <v>6822</v>
      </c>
      <c r="C1065" s="7">
        <v>1750</v>
      </c>
      <c r="D1065" s="8" t="s">
        <v>6823</v>
      </c>
      <c r="E1065" s="8" t="s">
        <v>6824</v>
      </c>
      <c r="F1065" s="8" t="s">
        <v>6825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380</v>
      </c>
      <c r="L1065" s="9">
        <v>2024</v>
      </c>
      <c r="M1065" s="8" t="s">
        <v>6826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6827</v>
      </c>
      <c r="S1065" s="11" t="s">
        <v>6828</v>
      </c>
      <c r="T1065" s="6"/>
      <c r="U1065" s="28" t="str">
        <f>HYPERLINK("https://media.infra-m.ru/2083/2083090/cover/2083090.jpg", "Обложка")</f>
        <v>Обложка</v>
      </c>
      <c r="V1065" s="28" t="str">
        <f>HYPERLINK("https://znanium.ru/catalog/product/2083090", "Ознакомиться")</f>
        <v>Ознакомиться</v>
      </c>
      <c r="W1065" s="8" t="s">
        <v>6829</v>
      </c>
      <c r="X1065" s="6"/>
      <c r="Y1065" s="6"/>
      <c r="Z1065" s="6" t="s">
        <v>687</v>
      </c>
      <c r="AA1065" s="6" t="s">
        <v>475</v>
      </c>
    </row>
    <row r="1066" spans="1:27" s="4" customFormat="1" ht="51.95" customHeight="1">
      <c r="A1066" s="5">
        <v>0</v>
      </c>
      <c r="B1066" s="6" t="s">
        <v>6830</v>
      </c>
      <c r="C1066" s="7">
        <v>1060</v>
      </c>
      <c r="D1066" s="8" t="s">
        <v>6831</v>
      </c>
      <c r="E1066" s="8" t="s">
        <v>6832</v>
      </c>
      <c r="F1066" s="8" t="s">
        <v>1192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234</v>
      </c>
      <c r="L1066" s="9">
        <v>2023</v>
      </c>
      <c r="M1066" s="8" t="s">
        <v>6833</v>
      </c>
      <c r="N1066" s="8" t="s">
        <v>41</v>
      </c>
      <c r="O1066" s="8" t="s">
        <v>42</v>
      </c>
      <c r="P1066" s="6" t="s">
        <v>43</v>
      </c>
      <c r="Q1066" s="8" t="s">
        <v>44</v>
      </c>
      <c r="R1066" s="10" t="s">
        <v>6834</v>
      </c>
      <c r="S1066" s="11" t="s">
        <v>6835</v>
      </c>
      <c r="T1066" s="6"/>
      <c r="U1066" s="28" t="str">
        <f>HYPERLINK("https://media.infra-m.ru/2012/2012571/cover/2012571.jpg", "Обложка")</f>
        <v>Обложка</v>
      </c>
      <c r="V1066" s="28" t="str">
        <f>HYPERLINK("https://znanium.ru/catalog/product/2012571", "Ознакомиться")</f>
        <v>Ознакомиться</v>
      </c>
      <c r="W1066" s="8"/>
      <c r="X1066" s="6"/>
      <c r="Y1066" s="6"/>
      <c r="Z1066" s="6" t="s">
        <v>48</v>
      </c>
      <c r="AA1066" s="6" t="s">
        <v>213</v>
      </c>
    </row>
    <row r="1067" spans="1:27" s="4" customFormat="1" ht="51.95" customHeight="1">
      <c r="A1067" s="5">
        <v>0</v>
      </c>
      <c r="B1067" s="6" t="s">
        <v>6836</v>
      </c>
      <c r="C1067" s="7">
        <v>1124</v>
      </c>
      <c r="D1067" s="8" t="s">
        <v>6837</v>
      </c>
      <c r="E1067" s="8" t="s">
        <v>6838</v>
      </c>
      <c r="F1067" s="8" t="s">
        <v>6839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248</v>
      </c>
      <c r="L1067" s="9">
        <v>2023</v>
      </c>
      <c r="M1067" s="8" t="s">
        <v>6840</v>
      </c>
      <c r="N1067" s="8" t="s">
        <v>41</v>
      </c>
      <c r="O1067" s="8" t="s">
        <v>42</v>
      </c>
      <c r="P1067" s="6" t="s">
        <v>43</v>
      </c>
      <c r="Q1067" s="8" t="s">
        <v>44</v>
      </c>
      <c r="R1067" s="10" t="s">
        <v>725</v>
      </c>
      <c r="S1067" s="11" t="s">
        <v>835</v>
      </c>
      <c r="T1067" s="6"/>
      <c r="U1067" s="28" t="str">
        <f>HYPERLINK("https://media.infra-m.ru/2045/2045993/cover/2045993.jpg", "Обложка")</f>
        <v>Обложка</v>
      </c>
      <c r="V1067" s="28" t="str">
        <f>HYPERLINK("https://znanium.ru/catalog/product/1189952", "Ознакомиться")</f>
        <v>Ознакомиться</v>
      </c>
      <c r="W1067" s="8" t="s">
        <v>73</v>
      </c>
      <c r="X1067" s="6"/>
      <c r="Y1067" s="6"/>
      <c r="Z1067" s="6" t="s">
        <v>48</v>
      </c>
      <c r="AA1067" s="6" t="s">
        <v>656</v>
      </c>
    </row>
    <row r="1068" spans="1:27" s="4" customFormat="1" ht="51.95" customHeight="1">
      <c r="A1068" s="5">
        <v>0</v>
      </c>
      <c r="B1068" s="6" t="s">
        <v>6841</v>
      </c>
      <c r="C1068" s="13">
        <v>910</v>
      </c>
      <c r="D1068" s="8" t="s">
        <v>6842</v>
      </c>
      <c r="E1068" s="8" t="s">
        <v>6843</v>
      </c>
      <c r="F1068" s="8" t="s">
        <v>6844</v>
      </c>
      <c r="G1068" s="6" t="s">
        <v>66</v>
      </c>
      <c r="H1068" s="6" t="s">
        <v>283</v>
      </c>
      <c r="I1068" s="8" t="s">
        <v>39</v>
      </c>
      <c r="J1068" s="9">
        <v>1</v>
      </c>
      <c r="K1068" s="9">
        <v>240</v>
      </c>
      <c r="L1068" s="9">
        <v>2022</v>
      </c>
      <c r="M1068" s="8" t="s">
        <v>6845</v>
      </c>
      <c r="N1068" s="8" t="s">
        <v>118</v>
      </c>
      <c r="O1068" s="8" t="s">
        <v>1459</v>
      </c>
      <c r="P1068" s="6" t="s">
        <v>70</v>
      </c>
      <c r="Q1068" s="8" t="s">
        <v>44</v>
      </c>
      <c r="R1068" s="10" t="s">
        <v>1165</v>
      </c>
      <c r="S1068" s="11" t="s">
        <v>1531</v>
      </c>
      <c r="T1068" s="6"/>
      <c r="U1068" s="28" t="str">
        <f>HYPERLINK("https://media.infra-m.ru/1850/1850732/cover/1850732.jpg", "Обложка")</f>
        <v>Обложка</v>
      </c>
      <c r="V1068" s="28" t="str">
        <f>HYPERLINK("https://znanium.ru/catalog/product/1850732", "Ознакомиться")</f>
        <v>Ознакомиться</v>
      </c>
      <c r="W1068" s="8" t="s">
        <v>60</v>
      </c>
      <c r="X1068" s="6"/>
      <c r="Y1068" s="6"/>
      <c r="Z1068" s="6" t="s">
        <v>48</v>
      </c>
      <c r="AA1068" s="6" t="s">
        <v>656</v>
      </c>
    </row>
    <row r="1069" spans="1:27" s="4" customFormat="1" ht="51.95" customHeight="1">
      <c r="A1069" s="5">
        <v>0</v>
      </c>
      <c r="B1069" s="6" t="s">
        <v>6846</v>
      </c>
      <c r="C1069" s="13">
        <v>710</v>
      </c>
      <c r="D1069" s="8" t="s">
        <v>6847</v>
      </c>
      <c r="E1069" s="8" t="s">
        <v>6848</v>
      </c>
      <c r="F1069" s="8" t="s">
        <v>6849</v>
      </c>
      <c r="G1069" s="6" t="s">
        <v>37</v>
      </c>
      <c r="H1069" s="6" t="s">
        <v>116</v>
      </c>
      <c r="I1069" s="8" t="s">
        <v>39</v>
      </c>
      <c r="J1069" s="9">
        <v>1</v>
      </c>
      <c r="K1069" s="9">
        <v>208</v>
      </c>
      <c r="L1069" s="9">
        <v>2020</v>
      </c>
      <c r="M1069" s="8" t="s">
        <v>6850</v>
      </c>
      <c r="N1069" s="8" t="s">
        <v>118</v>
      </c>
      <c r="O1069" s="8" t="s">
        <v>1459</v>
      </c>
      <c r="P1069" s="6" t="s">
        <v>43</v>
      </c>
      <c r="Q1069" s="8" t="s">
        <v>44</v>
      </c>
      <c r="R1069" s="10" t="s">
        <v>202</v>
      </c>
      <c r="S1069" s="11" t="s">
        <v>3493</v>
      </c>
      <c r="T1069" s="6"/>
      <c r="U1069" s="28" t="str">
        <f>HYPERLINK("https://media.infra-m.ru/1043/1043108/cover/1043108.jpg", "Обложка")</f>
        <v>Обложка</v>
      </c>
      <c r="V1069" s="28" t="str">
        <f>HYPERLINK("https://znanium.ru/catalog/product/1043108", "Ознакомиться")</f>
        <v>Ознакомиться</v>
      </c>
      <c r="W1069" s="8"/>
      <c r="X1069" s="6"/>
      <c r="Y1069" s="6"/>
      <c r="Z1069" s="6" t="s">
        <v>48</v>
      </c>
      <c r="AA1069" s="6" t="s">
        <v>656</v>
      </c>
    </row>
    <row r="1070" spans="1:27" s="4" customFormat="1" ht="51.95" customHeight="1">
      <c r="A1070" s="5">
        <v>0</v>
      </c>
      <c r="B1070" s="6" t="s">
        <v>6851</v>
      </c>
      <c r="C1070" s="13">
        <v>804</v>
      </c>
      <c r="D1070" s="8" t="s">
        <v>6852</v>
      </c>
      <c r="E1070" s="8" t="s">
        <v>6853</v>
      </c>
      <c r="F1070" s="8" t="s">
        <v>6854</v>
      </c>
      <c r="G1070" s="6" t="s">
        <v>54</v>
      </c>
      <c r="H1070" s="6" t="s">
        <v>38</v>
      </c>
      <c r="I1070" s="8" t="s">
        <v>80</v>
      </c>
      <c r="J1070" s="9">
        <v>1</v>
      </c>
      <c r="K1070" s="9">
        <v>176</v>
      </c>
      <c r="L1070" s="9">
        <v>2024</v>
      </c>
      <c r="M1070" s="8" t="s">
        <v>6855</v>
      </c>
      <c r="N1070" s="8" t="s">
        <v>118</v>
      </c>
      <c r="O1070" s="8" t="s">
        <v>1459</v>
      </c>
      <c r="P1070" s="6" t="s">
        <v>43</v>
      </c>
      <c r="Q1070" s="8" t="s">
        <v>44</v>
      </c>
      <c r="R1070" s="10" t="s">
        <v>6856</v>
      </c>
      <c r="S1070" s="11" t="s">
        <v>6857</v>
      </c>
      <c r="T1070" s="6"/>
      <c r="U1070" s="28" t="str">
        <f>HYPERLINK("https://media.infra-m.ru/2103/2103138/cover/2103138.jpg", "Обложка")</f>
        <v>Обложка</v>
      </c>
      <c r="V1070" s="28" t="str">
        <f>HYPERLINK("https://znanium.ru/catalog/product/1012453", "Ознакомиться")</f>
        <v>Ознакомиться</v>
      </c>
      <c r="W1070" s="8" t="s">
        <v>102</v>
      </c>
      <c r="X1070" s="6"/>
      <c r="Y1070" s="6"/>
      <c r="Z1070" s="6"/>
      <c r="AA1070" s="6" t="s">
        <v>1473</v>
      </c>
    </row>
    <row r="1071" spans="1:27" s="4" customFormat="1" ht="51.95" customHeight="1">
      <c r="A1071" s="5">
        <v>0</v>
      </c>
      <c r="B1071" s="6" t="s">
        <v>6858</v>
      </c>
      <c r="C1071" s="13">
        <v>794.9</v>
      </c>
      <c r="D1071" s="8" t="s">
        <v>6859</v>
      </c>
      <c r="E1071" s="8" t="s">
        <v>6860</v>
      </c>
      <c r="F1071" s="8" t="s">
        <v>6861</v>
      </c>
      <c r="G1071" s="6" t="s">
        <v>54</v>
      </c>
      <c r="H1071" s="6" t="s">
        <v>38</v>
      </c>
      <c r="I1071" s="8" t="s">
        <v>6862</v>
      </c>
      <c r="J1071" s="9">
        <v>1</v>
      </c>
      <c r="K1071" s="9">
        <v>176</v>
      </c>
      <c r="L1071" s="9">
        <v>2023</v>
      </c>
      <c r="M1071" s="8" t="s">
        <v>6863</v>
      </c>
      <c r="N1071" s="8" t="s">
        <v>118</v>
      </c>
      <c r="O1071" s="8" t="s">
        <v>1459</v>
      </c>
      <c r="P1071" s="6" t="s">
        <v>43</v>
      </c>
      <c r="Q1071" s="8" t="s">
        <v>44</v>
      </c>
      <c r="R1071" s="10" t="s">
        <v>6864</v>
      </c>
      <c r="S1071" s="11" t="s">
        <v>6857</v>
      </c>
      <c r="T1071" s="6"/>
      <c r="U1071" s="28" t="str">
        <f>HYPERLINK("https://media.infra-m.ru/1981/1981705/cover/1981705.jpg", "Обложка")</f>
        <v>Обложка</v>
      </c>
      <c r="V1071" s="28" t="str">
        <f>HYPERLINK("https://znanium.ru/catalog/product/1012430", "Ознакомиться")</f>
        <v>Ознакомиться</v>
      </c>
      <c r="W1071" s="8" t="s">
        <v>102</v>
      </c>
      <c r="X1071" s="6"/>
      <c r="Y1071" s="6"/>
      <c r="Z1071" s="6"/>
      <c r="AA1071" s="6" t="s">
        <v>1473</v>
      </c>
    </row>
    <row r="1072" spans="1:27" s="4" customFormat="1" ht="51.95" customHeight="1">
      <c r="A1072" s="5">
        <v>0</v>
      </c>
      <c r="B1072" s="6" t="s">
        <v>6865</v>
      </c>
      <c r="C1072" s="7">
        <v>1070</v>
      </c>
      <c r="D1072" s="8" t="s">
        <v>6866</v>
      </c>
      <c r="E1072" s="8" t="s">
        <v>6867</v>
      </c>
      <c r="F1072" s="8" t="s">
        <v>6868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231</v>
      </c>
      <c r="L1072" s="9">
        <v>2024</v>
      </c>
      <c r="M1072" s="8" t="s">
        <v>6869</v>
      </c>
      <c r="N1072" s="8" t="s">
        <v>118</v>
      </c>
      <c r="O1072" s="8" t="s">
        <v>1459</v>
      </c>
      <c r="P1072" s="6" t="s">
        <v>70</v>
      </c>
      <c r="Q1072" s="8" t="s">
        <v>44</v>
      </c>
      <c r="R1072" s="10" t="s">
        <v>6870</v>
      </c>
      <c r="S1072" s="11" t="s">
        <v>6871</v>
      </c>
      <c r="T1072" s="6" t="s">
        <v>110</v>
      </c>
      <c r="U1072" s="28" t="str">
        <f>HYPERLINK("https://media.infra-m.ru/2110/2110477/cover/2110477.jpg", "Обложка")</f>
        <v>Обложка</v>
      </c>
      <c r="V1072" s="28" t="str">
        <f>HYPERLINK("https://znanium.ru/catalog/product/2110477", "Ознакомиться")</f>
        <v>Ознакомиться</v>
      </c>
      <c r="W1072" s="8" t="s">
        <v>1175</v>
      </c>
      <c r="X1072" s="6"/>
      <c r="Y1072" s="6"/>
      <c r="Z1072" s="6" t="s">
        <v>48</v>
      </c>
      <c r="AA1072" s="6" t="s">
        <v>921</v>
      </c>
    </row>
    <row r="1073" spans="1:27" s="4" customFormat="1" ht="51.95" customHeight="1">
      <c r="A1073" s="5">
        <v>0</v>
      </c>
      <c r="B1073" s="6" t="s">
        <v>6872</v>
      </c>
      <c r="C1073" s="13">
        <v>733.4</v>
      </c>
      <c r="D1073" s="8" t="s">
        <v>6873</v>
      </c>
      <c r="E1073" s="8" t="s">
        <v>6874</v>
      </c>
      <c r="F1073" s="8" t="s">
        <v>6875</v>
      </c>
      <c r="G1073" s="6" t="s">
        <v>66</v>
      </c>
      <c r="H1073" s="6" t="s">
        <v>79</v>
      </c>
      <c r="I1073" s="8" t="s">
        <v>39</v>
      </c>
      <c r="J1073" s="9">
        <v>1</v>
      </c>
      <c r="K1073" s="9">
        <v>176</v>
      </c>
      <c r="L1073" s="9">
        <v>2022</v>
      </c>
      <c r="M1073" s="8" t="s">
        <v>6876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6877</v>
      </c>
      <c r="S1073" s="11" t="s">
        <v>6878</v>
      </c>
      <c r="T1073" s="6"/>
      <c r="U1073" s="28" t="str">
        <f>HYPERLINK("https://media.infra-m.ru/1853/1853773/cover/1853773.jpg", "Обложка")</f>
        <v>Обложка</v>
      </c>
      <c r="V1073" s="28" t="str">
        <f>HYPERLINK("https://znanium.ru/catalog/product/1853773", "Ознакомиться")</f>
        <v>Ознакомиться</v>
      </c>
      <c r="W1073" s="8" t="s">
        <v>137</v>
      </c>
      <c r="X1073" s="6"/>
      <c r="Y1073" s="6"/>
      <c r="Z1073" s="6" t="s">
        <v>48</v>
      </c>
      <c r="AA1073" s="6" t="s">
        <v>656</v>
      </c>
    </row>
    <row r="1074" spans="1:27" s="4" customFormat="1" ht="51.95" customHeight="1">
      <c r="A1074" s="5">
        <v>0</v>
      </c>
      <c r="B1074" s="6" t="s">
        <v>6879</v>
      </c>
      <c r="C1074" s="13">
        <v>980</v>
      </c>
      <c r="D1074" s="8" t="s">
        <v>6880</v>
      </c>
      <c r="E1074" s="8" t="s">
        <v>6881</v>
      </c>
      <c r="F1074" s="8" t="s">
        <v>6882</v>
      </c>
      <c r="G1074" s="6" t="s">
        <v>66</v>
      </c>
      <c r="H1074" s="6" t="s">
        <v>38</v>
      </c>
      <c r="I1074" s="8" t="s">
        <v>39</v>
      </c>
      <c r="J1074" s="9">
        <v>1</v>
      </c>
      <c r="K1074" s="9">
        <v>217</v>
      </c>
      <c r="L1074" s="9">
        <v>2023</v>
      </c>
      <c r="M1074" s="8" t="s">
        <v>6883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6884</v>
      </c>
      <c r="S1074" s="11" t="s">
        <v>1000</v>
      </c>
      <c r="T1074" s="6" t="s">
        <v>110</v>
      </c>
      <c r="U1074" s="28" t="str">
        <f>HYPERLINK("https://media.infra-m.ru/2015/2015303/cover/2015303.jpg", "Обложка")</f>
        <v>Обложка</v>
      </c>
      <c r="V1074" s="28" t="str">
        <f>HYPERLINK("https://znanium.ru/catalog/product/2015303", "Ознакомиться")</f>
        <v>Ознакомиться</v>
      </c>
      <c r="W1074" s="8" t="s">
        <v>83</v>
      </c>
      <c r="X1074" s="6"/>
      <c r="Y1074" s="6"/>
      <c r="Z1074" s="6"/>
      <c r="AA1074" s="6" t="s">
        <v>5085</v>
      </c>
    </row>
    <row r="1075" spans="1:27" s="4" customFormat="1" ht="51.95" customHeight="1">
      <c r="A1075" s="5">
        <v>0</v>
      </c>
      <c r="B1075" s="6" t="s">
        <v>6885</v>
      </c>
      <c r="C1075" s="7">
        <v>1430</v>
      </c>
      <c r="D1075" s="8" t="s">
        <v>6886</v>
      </c>
      <c r="E1075" s="8" t="s">
        <v>6887</v>
      </c>
      <c r="F1075" s="8" t="s">
        <v>2811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386</v>
      </c>
      <c r="L1075" s="9">
        <v>2021</v>
      </c>
      <c r="M1075" s="8" t="s">
        <v>6888</v>
      </c>
      <c r="N1075" s="8" t="s">
        <v>118</v>
      </c>
      <c r="O1075" s="8" t="s">
        <v>119</v>
      </c>
      <c r="P1075" s="6" t="s">
        <v>43</v>
      </c>
      <c r="Q1075" s="8" t="s">
        <v>44</v>
      </c>
      <c r="R1075" s="10" t="s">
        <v>584</v>
      </c>
      <c r="S1075" s="11" t="s">
        <v>6889</v>
      </c>
      <c r="T1075" s="6"/>
      <c r="U1075" s="28" t="str">
        <f>HYPERLINK("https://media.infra-m.ru/1480/1480100/cover/1480100.jpg", "Обложка")</f>
        <v>Обложка</v>
      </c>
      <c r="V1075" s="28" t="str">
        <f>HYPERLINK("https://znanium.ru/catalog/product/1480100", "Ознакомиться")</f>
        <v>Ознакомиться</v>
      </c>
      <c r="W1075" s="8" t="s">
        <v>73</v>
      </c>
      <c r="X1075" s="6"/>
      <c r="Y1075" s="6"/>
      <c r="Z1075" s="6" t="s">
        <v>48</v>
      </c>
      <c r="AA1075" s="6" t="s">
        <v>213</v>
      </c>
    </row>
    <row r="1076" spans="1:27" s="4" customFormat="1" ht="51.95" customHeight="1">
      <c r="A1076" s="5">
        <v>0</v>
      </c>
      <c r="B1076" s="6" t="s">
        <v>6890</v>
      </c>
      <c r="C1076" s="7">
        <v>1540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283</v>
      </c>
      <c r="I1076" s="8" t="s">
        <v>39</v>
      </c>
      <c r="J1076" s="9">
        <v>1</v>
      </c>
      <c r="K1076" s="9">
        <v>336</v>
      </c>
      <c r="L1076" s="9">
        <v>2023</v>
      </c>
      <c r="M1076" s="8" t="s">
        <v>6894</v>
      </c>
      <c r="N1076" s="8" t="s">
        <v>118</v>
      </c>
      <c r="O1076" s="8" t="s">
        <v>1459</v>
      </c>
      <c r="P1076" s="6" t="s">
        <v>70</v>
      </c>
      <c r="Q1076" s="8" t="s">
        <v>44</v>
      </c>
      <c r="R1076" s="10" t="s">
        <v>6895</v>
      </c>
      <c r="S1076" s="11" t="s">
        <v>487</v>
      </c>
      <c r="T1076" s="6"/>
      <c r="U1076" s="28" t="str">
        <f>HYPERLINK("https://media.infra-m.ru/1941/1941732/cover/1941732.jpg", "Обложка")</f>
        <v>Обложка</v>
      </c>
      <c r="V1076" s="28" t="str">
        <f>HYPERLINK("https://znanium.ru/catalog/product/1044004", "Ознакомиться")</f>
        <v>Ознакомиться</v>
      </c>
      <c r="W1076" s="8" t="s">
        <v>6896</v>
      </c>
      <c r="X1076" s="6"/>
      <c r="Y1076" s="6" t="s">
        <v>30</v>
      </c>
      <c r="Z1076" s="6"/>
      <c r="AA1076" s="6" t="s">
        <v>221</v>
      </c>
    </row>
    <row r="1077" spans="1:27" s="4" customFormat="1" ht="51.95" customHeight="1">
      <c r="A1077" s="5">
        <v>0</v>
      </c>
      <c r="B1077" s="6" t="s">
        <v>6897</v>
      </c>
      <c r="C1077" s="13">
        <v>900</v>
      </c>
      <c r="D1077" s="8" t="s">
        <v>6898</v>
      </c>
      <c r="E1077" s="8" t="s">
        <v>6899</v>
      </c>
      <c r="F1077" s="8" t="s">
        <v>6900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234</v>
      </c>
      <c r="L1077" s="9">
        <v>2022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6903</v>
      </c>
      <c r="T1077" s="6"/>
      <c r="U1077" s="28" t="str">
        <f>HYPERLINK("https://media.infra-m.ru/1818/1818225/cover/1818225.jpg", "Обложка")</f>
        <v>Обложка</v>
      </c>
      <c r="V1077" s="28" t="str">
        <f>HYPERLINK("https://znanium.ru/catalog/product/1818225", "Ознакомиться")</f>
        <v>Ознакомиться</v>
      </c>
      <c r="W1077" s="8" t="s">
        <v>6904</v>
      </c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6905</v>
      </c>
      <c r="C1078" s="7">
        <v>1554</v>
      </c>
      <c r="D1078" s="8" t="s">
        <v>6906</v>
      </c>
      <c r="E1078" s="8" t="s">
        <v>6907</v>
      </c>
      <c r="F1078" s="8" t="s">
        <v>6908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345</v>
      </c>
      <c r="L1078" s="9">
        <v>2023</v>
      </c>
      <c r="M1078" s="8" t="s">
        <v>6909</v>
      </c>
      <c r="N1078" s="8" t="s">
        <v>41</v>
      </c>
      <c r="O1078" s="8" t="s">
        <v>42</v>
      </c>
      <c r="P1078" s="6" t="s">
        <v>43</v>
      </c>
      <c r="Q1078" s="8" t="s">
        <v>44</v>
      </c>
      <c r="R1078" s="10" t="s">
        <v>6910</v>
      </c>
      <c r="S1078" s="11" t="s">
        <v>835</v>
      </c>
      <c r="T1078" s="6"/>
      <c r="U1078" s="28" t="str">
        <f>HYPERLINK("https://media.infra-m.ru/1989/1989254/cover/1989254.jpg", "Обложка")</f>
        <v>Обложка</v>
      </c>
      <c r="V1078" s="28" t="str">
        <f>HYPERLINK("https://znanium.ru/catalog/product/1189953",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656</v>
      </c>
    </row>
    <row r="1079" spans="1:27" s="4" customFormat="1" ht="51.95" customHeight="1">
      <c r="A1079" s="5">
        <v>0</v>
      </c>
      <c r="B1079" s="6" t="s">
        <v>6911</v>
      </c>
      <c r="C1079" s="13">
        <v>834.9</v>
      </c>
      <c r="D1079" s="8" t="s">
        <v>6912</v>
      </c>
      <c r="E1079" s="8" t="s">
        <v>6913</v>
      </c>
      <c r="F1079" s="8" t="s">
        <v>6914</v>
      </c>
      <c r="G1079" s="6" t="s">
        <v>54</v>
      </c>
      <c r="H1079" s="6" t="s">
        <v>38</v>
      </c>
      <c r="I1079" s="8" t="s">
        <v>56</v>
      </c>
      <c r="J1079" s="9">
        <v>1</v>
      </c>
      <c r="K1079" s="9">
        <v>184</v>
      </c>
      <c r="L1079" s="9">
        <v>2023</v>
      </c>
      <c r="M1079" s="8" t="s">
        <v>6915</v>
      </c>
      <c r="N1079" s="8" t="s">
        <v>118</v>
      </c>
      <c r="O1079" s="8" t="s">
        <v>1459</v>
      </c>
      <c r="P1079" s="6" t="s">
        <v>43</v>
      </c>
      <c r="Q1079" s="8" t="s">
        <v>44</v>
      </c>
      <c r="R1079" s="10" t="s">
        <v>2856</v>
      </c>
      <c r="S1079" s="11" t="s">
        <v>260</v>
      </c>
      <c r="T1079" s="6"/>
      <c r="U1079" s="28" t="str">
        <f>HYPERLINK("https://media.infra-m.ru/1902/1902488/cover/1902488.jpg", "Обложка")</f>
        <v>Обложка</v>
      </c>
      <c r="V1079" s="28" t="str">
        <f>HYPERLINK("https://znanium.ru/catalog/product/1836737", "Ознакомиться")</f>
        <v>Ознакомиться</v>
      </c>
      <c r="W1079" s="8" t="s">
        <v>261</v>
      </c>
      <c r="X1079" s="6"/>
      <c r="Y1079" s="6"/>
      <c r="Z1079" s="6"/>
      <c r="AA1079" s="6" t="s">
        <v>262</v>
      </c>
    </row>
    <row r="1080" spans="1:27" s="4" customFormat="1" ht="51.95" customHeight="1">
      <c r="A1080" s="5">
        <v>0</v>
      </c>
      <c r="B1080" s="6" t="s">
        <v>6916</v>
      </c>
      <c r="C1080" s="7">
        <v>1150</v>
      </c>
      <c r="D1080" s="8" t="s">
        <v>6917</v>
      </c>
      <c r="E1080" s="8" t="s">
        <v>6918</v>
      </c>
      <c r="F1080" s="8" t="s">
        <v>6919</v>
      </c>
      <c r="G1080" s="6" t="s">
        <v>66</v>
      </c>
      <c r="H1080" s="6" t="s">
        <v>79</v>
      </c>
      <c r="I1080" s="8" t="s">
        <v>39</v>
      </c>
      <c r="J1080" s="9">
        <v>1</v>
      </c>
      <c r="K1080" s="9">
        <v>248</v>
      </c>
      <c r="L1080" s="9">
        <v>2024</v>
      </c>
      <c r="M1080" s="8" t="s">
        <v>6920</v>
      </c>
      <c r="N1080" s="8" t="s">
        <v>41</v>
      </c>
      <c r="O1080" s="8" t="s">
        <v>178</v>
      </c>
      <c r="P1080" s="6" t="s">
        <v>43</v>
      </c>
      <c r="Q1080" s="8" t="s">
        <v>44</v>
      </c>
      <c r="R1080" s="10" t="s">
        <v>1752</v>
      </c>
      <c r="S1080" s="11" t="s">
        <v>6921</v>
      </c>
      <c r="T1080" s="6"/>
      <c r="U1080" s="28" t="str">
        <f>HYPERLINK("https://media.infra-m.ru/2083/2083344/cover/2083344.jpg", "Обложка")</f>
        <v>Обложка</v>
      </c>
      <c r="V1080" s="28" t="str">
        <f>HYPERLINK("https://znanium.ru/catalog/product/2083344", "Ознакомиться")</f>
        <v>Ознакомиться</v>
      </c>
      <c r="W1080" s="8" t="s">
        <v>2870</v>
      </c>
      <c r="X1080" s="6"/>
      <c r="Y1080" s="6"/>
      <c r="Z1080" s="6" t="s">
        <v>48</v>
      </c>
      <c r="AA1080" s="6" t="s">
        <v>524</v>
      </c>
    </row>
    <row r="1081" spans="1:27" s="4" customFormat="1" ht="51.95" customHeight="1">
      <c r="A1081" s="5">
        <v>0</v>
      </c>
      <c r="B1081" s="6" t="s">
        <v>6922</v>
      </c>
      <c r="C1081" s="7">
        <v>1174</v>
      </c>
      <c r="D1081" s="8" t="s">
        <v>6923</v>
      </c>
      <c r="E1081" s="8" t="s">
        <v>6924</v>
      </c>
      <c r="F1081" s="8" t="s">
        <v>3449</v>
      </c>
      <c r="G1081" s="6" t="s">
        <v>66</v>
      </c>
      <c r="H1081" s="6" t="s">
        <v>38</v>
      </c>
      <c r="I1081" s="8" t="s">
        <v>39</v>
      </c>
      <c r="J1081" s="9">
        <v>1</v>
      </c>
      <c r="K1081" s="9">
        <v>256</v>
      </c>
      <c r="L1081" s="9">
        <v>2024</v>
      </c>
      <c r="M1081" s="8" t="s">
        <v>6925</v>
      </c>
      <c r="N1081" s="8" t="s">
        <v>118</v>
      </c>
      <c r="O1081" s="8" t="s">
        <v>1459</v>
      </c>
      <c r="P1081" s="6" t="s">
        <v>43</v>
      </c>
      <c r="Q1081" s="8" t="s">
        <v>44</v>
      </c>
      <c r="R1081" s="10" t="s">
        <v>6926</v>
      </c>
      <c r="S1081" s="11" t="s">
        <v>6927</v>
      </c>
      <c r="T1081" s="6"/>
      <c r="U1081" s="28" t="str">
        <f>HYPERLINK("https://media.infra-m.ru/2118/2118076/cover/2118076.jpg", "Обложка")</f>
        <v>Обложка</v>
      </c>
      <c r="V1081" s="28" t="str">
        <f>HYPERLINK("https://znanium.ru/catalog/product/2008794", "Ознакомиться")</f>
        <v>Ознакомиться</v>
      </c>
      <c r="W1081" s="8" t="s">
        <v>3453</v>
      </c>
      <c r="X1081" s="6"/>
      <c r="Y1081" s="6"/>
      <c r="Z1081" s="6" t="s">
        <v>48</v>
      </c>
      <c r="AA1081" s="6" t="s">
        <v>94</v>
      </c>
    </row>
    <row r="1082" spans="1:27" s="4" customFormat="1" ht="51.95" customHeight="1">
      <c r="A1082" s="5">
        <v>0</v>
      </c>
      <c r="B1082" s="6" t="s">
        <v>6928</v>
      </c>
      <c r="C1082" s="7">
        <v>1590</v>
      </c>
      <c r="D1082" s="8" t="s">
        <v>6929</v>
      </c>
      <c r="E1082" s="8" t="s">
        <v>6930</v>
      </c>
      <c r="F1082" s="8" t="s">
        <v>6931</v>
      </c>
      <c r="G1082" s="6" t="s">
        <v>66</v>
      </c>
      <c r="H1082" s="6" t="s">
        <v>283</v>
      </c>
      <c r="I1082" s="8" t="s">
        <v>56</v>
      </c>
      <c r="J1082" s="9">
        <v>1</v>
      </c>
      <c r="K1082" s="9">
        <v>352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70</v>
      </c>
      <c r="Q1082" s="8" t="s">
        <v>44</v>
      </c>
      <c r="R1082" s="10" t="s">
        <v>429</v>
      </c>
      <c r="S1082" s="11" t="s">
        <v>6933</v>
      </c>
      <c r="T1082" s="6"/>
      <c r="U1082" s="28" t="str">
        <f>HYPERLINK("https://media.infra-m.ru/2012/2012580/cover/2012580.jpg", "Обложка")</f>
        <v>Обложка</v>
      </c>
      <c r="V1082" s="28" t="str">
        <f>HYPERLINK("https://znanium.ru/catalog/product/2012580", "Ознакомиться")</f>
        <v>Ознакомиться</v>
      </c>
      <c r="W1082" s="8" t="s">
        <v>4721</v>
      </c>
      <c r="X1082" s="6"/>
      <c r="Y1082" s="6"/>
      <c r="Z1082" s="6"/>
      <c r="AA1082" s="6" t="s">
        <v>1473</v>
      </c>
    </row>
    <row r="1083" spans="1:27" s="4" customFormat="1" ht="51.95" customHeight="1">
      <c r="A1083" s="5">
        <v>0</v>
      </c>
      <c r="B1083" s="6" t="s">
        <v>6934</v>
      </c>
      <c r="C1083" s="13">
        <v>824</v>
      </c>
      <c r="D1083" s="8" t="s">
        <v>6935</v>
      </c>
      <c r="E1083" s="8" t="s">
        <v>6936</v>
      </c>
      <c r="F1083" s="8" t="s">
        <v>6937</v>
      </c>
      <c r="G1083" s="6" t="s">
        <v>54</v>
      </c>
      <c r="H1083" s="6" t="s">
        <v>38</v>
      </c>
      <c r="I1083" s="8" t="s">
        <v>39</v>
      </c>
      <c r="J1083" s="9">
        <v>1</v>
      </c>
      <c r="K1083" s="9">
        <v>176</v>
      </c>
      <c r="L1083" s="9">
        <v>2024</v>
      </c>
      <c r="M1083" s="8" t="s">
        <v>6938</v>
      </c>
      <c r="N1083" s="8" t="s">
        <v>118</v>
      </c>
      <c r="O1083" s="8" t="s">
        <v>1459</v>
      </c>
      <c r="P1083" s="6" t="s">
        <v>43</v>
      </c>
      <c r="Q1083" s="8" t="s">
        <v>44</v>
      </c>
      <c r="R1083" s="10" t="s">
        <v>6939</v>
      </c>
      <c r="S1083" s="11" t="s">
        <v>1000</v>
      </c>
      <c r="T1083" s="6"/>
      <c r="U1083" s="28" t="str">
        <f>HYPERLINK("https://media.infra-m.ru/2139/2139114/cover/2139114.jpg", "Обложка")</f>
        <v>Обложка</v>
      </c>
      <c r="V1083" s="28" t="str">
        <f>HYPERLINK("https://znanium.ru/catalog/product/1836614", "Ознакомиться")</f>
        <v>Ознакомиться</v>
      </c>
      <c r="W1083" s="8"/>
      <c r="X1083" s="6"/>
      <c r="Y1083" s="6"/>
      <c r="Z1083" s="6"/>
      <c r="AA1083" s="6" t="s">
        <v>297</v>
      </c>
    </row>
    <row r="1084" spans="1:27" s="4" customFormat="1" ht="51.95" customHeight="1">
      <c r="A1084" s="5">
        <v>0</v>
      </c>
      <c r="B1084" s="6" t="s">
        <v>6940</v>
      </c>
      <c r="C1084" s="13">
        <v>960</v>
      </c>
      <c r="D1084" s="8" t="s">
        <v>6941</v>
      </c>
      <c r="E1084" s="8" t="s">
        <v>6942</v>
      </c>
      <c r="F1084" s="8" t="s">
        <v>6943</v>
      </c>
      <c r="G1084" s="6" t="s">
        <v>66</v>
      </c>
      <c r="H1084" s="6" t="s">
        <v>79</v>
      </c>
      <c r="I1084" s="8" t="s">
        <v>39</v>
      </c>
      <c r="J1084" s="9">
        <v>1</v>
      </c>
      <c r="K1084" s="9">
        <v>202</v>
      </c>
      <c r="L1084" s="9">
        <v>2024</v>
      </c>
      <c r="M1084" s="8" t="s">
        <v>6944</v>
      </c>
      <c r="N1084" s="8" t="s">
        <v>1171</v>
      </c>
      <c r="O1084" s="8" t="s">
        <v>1172</v>
      </c>
      <c r="P1084" s="6" t="s">
        <v>1157</v>
      </c>
      <c r="Q1084" s="8" t="s">
        <v>44</v>
      </c>
      <c r="R1084" s="10" t="s">
        <v>3725</v>
      </c>
      <c r="S1084" s="11" t="s">
        <v>6945</v>
      </c>
      <c r="T1084" s="6"/>
      <c r="U1084" s="28" t="str">
        <f>HYPERLINK("https://media.infra-m.ru/2102/2102670/cover/2102670.jpg", "Обложка")</f>
        <v>Обложка</v>
      </c>
      <c r="V1084" s="28" t="str">
        <f>HYPERLINK("https://znanium.ru/catalog/product/2102670", "Ознакомиться")</f>
        <v>Ознакомиться</v>
      </c>
      <c r="W1084" s="8" t="s">
        <v>46</v>
      </c>
      <c r="X1084" s="6"/>
      <c r="Y1084" s="6"/>
      <c r="Z1084" s="6" t="s">
        <v>48</v>
      </c>
      <c r="AA1084" s="6" t="s">
        <v>656</v>
      </c>
    </row>
    <row r="1085" spans="1:27" s="4" customFormat="1" ht="42" customHeight="1">
      <c r="A1085" s="5">
        <v>0</v>
      </c>
      <c r="B1085" s="6" t="s">
        <v>6946</v>
      </c>
      <c r="C1085" s="7">
        <v>2134</v>
      </c>
      <c r="D1085" s="8" t="s">
        <v>6947</v>
      </c>
      <c r="E1085" s="8" t="s">
        <v>6948</v>
      </c>
      <c r="F1085" s="8" t="s">
        <v>6949</v>
      </c>
      <c r="G1085" s="6" t="s">
        <v>37</v>
      </c>
      <c r="H1085" s="6" t="s">
        <v>2483</v>
      </c>
      <c r="I1085" s="8" t="s">
        <v>39</v>
      </c>
      <c r="J1085" s="9">
        <v>1</v>
      </c>
      <c r="K1085" s="9">
        <v>464</v>
      </c>
      <c r="L1085" s="9">
        <v>2024</v>
      </c>
      <c r="M1085" s="8" t="s">
        <v>6950</v>
      </c>
      <c r="N1085" s="8" t="s">
        <v>68</v>
      </c>
      <c r="O1085" s="8" t="s">
        <v>69</v>
      </c>
      <c r="P1085" s="6" t="s">
        <v>43</v>
      </c>
      <c r="Q1085" s="8" t="s">
        <v>44</v>
      </c>
      <c r="R1085" s="10" t="s">
        <v>2739</v>
      </c>
      <c r="S1085" s="11"/>
      <c r="T1085" s="6"/>
      <c r="U1085" s="28" t="str">
        <f>HYPERLINK("https://media.infra-m.ru/2112/2112879/cover/2112879.jpg", "Обложка")</f>
        <v>Обложка</v>
      </c>
      <c r="V1085" s="28" t="str">
        <f>HYPERLINK("https://znanium.ru/catalog/product/1230037", "Ознакомиться")</f>
        <v>Ознакомиться</v>
      </c>
      <c r="W1085" s="8" t="s">
        <v>163</v>
      </c>
      <c r="X1085" s="6"/>
      <c r="Y1085" s="6"/>
      <c r="Z1085" s="6"/>
      <c r="AA1085" s="6" t="s">
        <v>245</v>
      </c>
    </row>
    <row r="1086" spans="1:27" s="4" customFormat="1" ht="51.95" customHeight="1">
      <c r="A1086" s="5">
        <v>0</v>
      </c>
      <c r="B1086" s="6" t="s">
        <v>6951</v>
      </c>
      <c r="C1086" s="13">
        <v>920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283</v>
      </c>
      <c r="I1086" s="8" t="s">
        <v>56</v>
      </c>
      <c r="J1086" s="9">
        <v>1</v>
      </c>
      <c r="K1086" s="9">
        <v>192</v>
      </c>
      <c r="L1086" s="9">
        <v>2024</v>
      </c>
      <c r="M1086" s="8" t="s">
        <v>6955</v>
      </c>
      <c r="N1086" s="8" t="s">
        <v>41</v>
      </c>
      <c r="O1086" s="8" t="s">
        <v>227</v>
      </c>
      <c r="P1086" s="6" t="s">
        <v>43</v>
      </c>
      <c r="Q1086" s="8" t="s">
        <v>44</v>
      </c>
      <c r="R1086" s="10" t="s">
        <v>1655</v>
      </c>
      <c r="S1086" s="11" t="s">
        <v>6956</v>
      </c>
      <c r="T1086" s="6"/>
      <c r="U1086" s="28" t="str">
        <f>HYPERLINK("https://media.infra-m.ru/2126/2126603/cover/2126603.jpg", "Обложка")</f>
        <v>Обложка</v>
      </c>
      <c r="V1086" s="28" t="str">
        <f>HYPERLINK("https://znanium.ru/catalog/product/2126603", "Ознакомиться")</f>
        <v>Ознакомиться</v>
      </c>
      <c r="W1086" s="8" t="s">
        <v>296</v>
      </c>
      <c r="X1086" s="6"/>
      <c r="Y1086" s="6"/>
      <c r="Z1086" s="6"/>
      <c r="AA1086" s="6" t="s">
        <v>164</v>
      </c>
    </row>
    <row r="1087" spans="1:27" s="4" customFormat="1" ht="51.95" customHeight="1">
      <c r="A1087" s="5">
        <v>0</v>
      </c>
      <c r="B1087" s="6" t="s">
        <v>6957</v>
      </c>
      <c r="C1087" s="7">
        <v>2962</v>
      </c>
      <c r="D1087" s="8" t="s">
        <v>6958</v>
      </c>
      <c r="E1087" s="8" t="s">
        <v>6959</v>
      </c>
      <c r="F1087" s="8" t="s">
        <v>6960</v>
      </c>
      <c r="G1087" s="6" t="s">
        <v>37</v>
      </c>
      <c r="H1087" s="6" t="s">
        <v>283</v>
      </c>
      <c r="I1087" s="8" t="s">
        <v>39</v>
      </c>
      <c r="J1087" s="9">
        <v>1</v>
      </c>
      <c r="K1087" s="9">
        <v>496</v>
      </c>
      <c r="L1087" s="9">
        <v>2024</v>
      </c>
      <c r="M1087" s="8" t="s">
        <v>6961</v>
      </c>
      <c r="N1087" s="8" t="s">
        <v>41</v>
      </c>
      <c r="O1087" s="8" t="s">
        <v>227</v>
      </c>
      <c r="P1087" s="6" t="s">
        <v>43</v>
      </c>
      <c r="Q1087" s="8" t="s">
        <v>44</v>
      </c>
      <c r="R1087" s="10" t="s">
        <v>1655</v>
      </c>
      <c r="S1087" s="11" t="s">
        <v>1000</v>
      </c>
      <c r="T1087" s="6"/>
      <c r="U1087" s="28" t="str">
        <f>HYPERLINK("https://media.infra-m.ru/2086/2086774/cover/2086774.jpg", "Обложка")</f>
        <v>Обложка</v>
      </c>
      <c r="V1087" s="28" t="str">
        <f>HYPERLINK("https://znanium.ru/catalog/product/2086774", "Ознакомиться")</f>
        <v>Ознакомиться</v>
      </c>
      <c r="W1087" s="8" t="s">
        <v>296</v>
      </c>
      <c r="X1087" s="6"/>
      <c r="Y1087" s="6"/>
      <c r="Z1087" s="6"/>
      <c r="AA1087" s="6" t="s">
        <v>221</v>
      </c>
    </row>
    <row r="1088" spans="1:27" s="4" customFormat="1" ht="51.95" customHeight="1">
      <c r="A1088" s="5">
        <v>0</v>
      </c>
      <c r="B1088" s="6" t="s">
        <v>6962</v>
      </c>
      <c r="C1088" s="7">
        <v>1680</v>
      </c>
      <c r="D1088" s="8" t="s">
        <v>6963</v>
      </c>
      <c r="E1088" s="8" t="s">
        <v>6964</v>
      </c>
      <c r="F1088" s="8" t="s">
        <v>6965</v>
      </c>
      <c r="G1088" s="6" t="s">
        <v>66</v>
      </c>
      <c r="H1088" s="6" t="s">
        <v>283</v>
      </c>
      <c r="I1088" s="8" t="s">
        <v>39</v>
      </c>
      <c r="J1088" s="9">
        <v>1</v>
      </c>
      <c r="K1088" s="9">
        <v>286</v>
      </c>
      <c r="L1088" s="9">
        <v>2023</v>
      </c>
      <c r="M1088" s="8" t="s">
        <v>6966</v>
      </c>
      <c r="N1088" s="8" t="s">
        <v>41</v>
      </c>
      <c r="O1088" s="8" t="s">
        <v>227</v>
      </c>
      <c r="P1088" s="6" t="s">
        <v>43</v>
      </c>
      <c r="Q1088" s="8" t="s">
        <v>44</v>
      </c>
      <c r="R1088" s="10" t="s">
        <v>6967</v>
      </c>
      <c r="S1088" s="11" t="s">
        <v>1000</v>
      </c>
      <c r="T1088" s="6"/>
      <c r="U1088" s="28" t="str">
        <f>HYPERLINK("https://media.infra-m.ru/1899/1899842/cover/1899842.jpg", "Обложка")</f>
        <v>Обложка</v>
      </c>
      <c r="V1088" s="28" t="str">
        <f>HYPERLINK("https://znanium.ru/catalog/product/1899842", "Ознакомиться")</f>
        <v>Ознакомиться</v>
      </c>
      <c r="W1088" s="8" t="s">
        <v>6968</v>
      </c>
      <c r="X1088" s="6"/>
      <c r="Y1088" s="6"/>
      <c r="Z1088" s="6"/>
      <c r="AA1088" s="6" t="s">
        <v>1358</v>
      </c>
    </row>
    <row r="1089" spans="1:27" s="4" customFormat="1" ht="51.95" customHeight="1">
      <c r="A1089" s="5">
        <v>0</v>
      </c>
      <c r="B1089" s="6" t="s">
        <v>6969</v>
      </c>
      <c r="C1089" s="7">
        <v>2064</v>
      </c>
      <c r="D1089" s="8" t="s">
        <v>6970</v>
      </c>
      <c r="E1089" s="8" t="s">
        <v>6971</v>
      </c>
      <c r="F1089" s="8" t="s">
        <v>1777</v>
      </c>
      <c r="G1089" s="6" t="s">
        <v>37</v>
      </c>
      <c r="H1089" s="6" t="s">
        <v>38</v>
      </c>
      <c r="I1089" s="8" t="s">
        <v>56</v>
      </c>
      <c r="J1089" s="9">
        <v>1</v>
      </c>
      <c r="K1089" s="9">
        <v>448</v>
      </c>
      <c r="L1089" s="9">
        <v>2023</v>
      </c>
      <c r="M1089" s="8" t="s">
        <v>6972</v>
      </c>
      <c r="N1089" s="8" t="s">
        <v>41</v>
      </c>
      <c r="O1089" s="8" t="s">
        <v>209</v>
      </c>
      <c r="P1089" s="6" t="s">
        <v>43</v>
      </c>
      <c r="Q1089" s="8" t="s">
        <v>44</v>
      </c>
      <c r="R1089" s="10" t="s">
        <v>6973</v>
      </c>
      <c r="S1089" s="11" t="s">
        <v>6974</v>
      </c>
      <c r="T1089" s="6"/>
      <c r="U1089" s="28" t="str">
        <f>HYPERLINK("https://media.infra-m.ru/1989/1989249/cover/1989249.jpg", "Обложка")</f>
        <v>Обложка</v>
      </c>
      <c r="V1089" s="28" t="str">
        <f>HYPERLINK("https://znanium.ru/catalog/product/1236301", "Ознакомиться")</f>
        <v>Ознакомиться</v>
      </c>
      <c r="W1089" s="8" t="s">
        <v>1779</v>
      </c>
      <c r="X1089" s="6"/>
      <c r="Y1089" s="6"/>
      <c r="Z1089" s="6"/>
      <c r="AA1089" s="6" t="s">
        <v>4513</v>
      </c>
    </row>
    <row r="1090" spans="1:27" s="4" customFormat="1" ht="44.1" customHeight="1">
      <c r="A1090" s="5">
        <v>0</v>
      </c>
      <c r="B1090" s="6" t="s">
        <v>6975</v>
      </c>
      <c r="C1090" s="7">
        <v>1770</v>
      </c>
      <c r="D1090" s="8" t="s">
        <v>6976</v>
      </c>
      <c r="E1090" s="8" t="s">
        <v>6977</v>
      </c>
      <c r="F1090" s="8" t="s">
        <v>6978</v>
      </c>
      <c r="G1090" s="6" t="s">
        <v>66</v>
      </c>
      <c r="H1090" s="6" t="s">
        <v>716</v>
      </c>
      <c r="I1090" s="8"/>
      <c r="J1090" s="9">
        <v>1</v>
      </c>
      <c r="K1090" s="9">
        <v>376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1662</v>
      </c>
      <c r="S1090" s="11"/>
      <c r="T1090" s="6"/>
      <c r="U1090" s="28" t="str">
        <f>HYPERLINK("https://media.infra-m.ru/2116/2116767/cover/2116767.jpg", "Обложка")</f>
        <v>Обложка</v>
      </c>
      <c r="V1090" s="28" t="str">
        <f>HYPERLINK("https://znanium.ru/catalog/product/2116767", "Ознакомиться")</f>
        <v>Ознакомиться</v>
      </c>
      <c r="W1090" s="8" t="s">
        <v>172</v>
      </c>
      <c r="X1090" s="6"/>
      <c r="Y1090" s="6"/>
      <c r="Z1090" s="6"/>
      <c r="AA1090" s="6" t="s">
        <v>671</v>
      </c>
    </row>
    <row r="1091" spans="1:27" s="4" customFormat="1" ht="42" customHeight="1">
      <c r="A1091" s="5">
        <v>0</v>
      </c>
      <c r="B1091" s="6" t="s">
        <v>6980</v>
      </c>
      <c r="C1091" s="7">
        <v>1440</v>
      </c>
      <c r="D1091" s="8" t="s">
        <v>6981</v>
      </c>
      <c r="E1091" s="8" t="s">
        <v>6982</v>
      </c>
      <c r="F1091" s="8" t="s">
        <v>3881</v>
      </c>
      <c r="G1091" s="6" t="s">
        <v>66</v>
      </c>
      <c r="H1091" s="6" t="s">
        <v>716</v>
      </c>
      <c r="I1091" s="8" t="s">
        <v>39</v>
      </c>
      <c r="J1091" s="9">
        <v>1</v>
      </c>
      <c r="K1091" s="9">
        <v>320</v>
      </c>
      <c r="L1091" s="9">
        <v>2023</v>
      </c>
      <c r="M1091" s="8" t="s">
        <v>6983</v>
      </c>
      <c r="N1091" s="8" t="s">
        <v>41</v>
      </c>
      <c r="O1091" s="8" t="s">
        <v>42</v>
      </c>
      <c r="P1091" s="6" t="s">
        <v>70</v>
      </c>
      <c r="Q1091" s="8" t="s">
        <v>44</v>
      </c>
      <c r="R1091" s="10" t="s">
        <v>6984</v>
      </c>
      <c r="S1091" s="11"/>
      <c r="T1091" s="6"/>
      <c r="U1091" s="28" t="str">
        <f>HYPERLINK("https://media.infra-m.ru/2002/2002607/cover/2002607.jpg", "Обложка")</f>
        <v>Обложка</v>
      </c>
      <c r="V1091" s="28" t="str">
        <f>HYPERLINK("https://znanium.ru/catalog/product/2002607", "Ознакомиться")</f>
        <v>Ознакомиться</v>
      </c>
      <c r="W1091" s="8" t="s">
        <v>1971</v>
      </c>
      <c r="X1091" s="6"/>
      <c r="Y1091" s="6"/>
      <c r="Z1091" s="6"/>
      <c r="AA1091" s="6" t="s">
        <v>671</v>
      </c>
    </row>
    <row r="1092" spans="1:27" s="4" customFormat="1" ht="51.95" customHeight="1">
      <c r="A1092" s="5">
        <v>0</v>
      </c>
      <c r="B1092" s="6" t="s">
        <v>6985</v>
      </c>
      <c r="C1092" s="13">
        <v>740</v>
      </c>
      <c r="D1092" s="8" t="s">
        <v>6986</v>
      </c>
      <c r="E1092" s="8" t="s">
        <v>6987</v>
      </c>
      <c r="F1092" s="8" t="s">
        <v>6988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134</v>
      </c>
      <c r="L1092" s="9">
        <v>2022</v>
      </c>
      <c r="M1092" s="8" t="s">
        <v>6989</v>
      </c>
      <c r="N1092" s="8" t="s">
        <v>504</v>
      </c>
      <c r="O1092" s="8" t="s">
        <v>746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HYPERLINK("https://media.infra-m.ru/1853/1853326/cover/1853326.jpg", "Обложка")</f>
        <v>Обложка</v>
      </c>
      <c r="V1092" s="28" t="str">
        <f>HYPERLINK("https://znanium.ru/catalog/product/1853326", "Ознакомиться")</f>
        <v>Ознакомиться</v>
      </c>
      <c r="W1092" s="8"/>
      <c r="X1092" s="6"/>
      <c r="Y1092" s="6"/>
      <c r="Z1092" s="6" t="s">
        <v>48</v>
      </c>
      <c r="AA1092" s="6" t="s">
        <v>475</v>
      </c>
    </row>
    <row r="1093" spans="1:27" s="4" customFormat="1" ht="51.95" customHeight="1">
      <c r="A1093" s="5">
        <v>0</v>
      </c>
      <c r="B1093" s="6" t="s">
        <v>6992</v>
      </c>
      <c r="C1093" s="7">
        <v>1140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254</v>
      </c>
      <c r="L1093" s="9">
        <v>2023</v>
      </c>
      <c r="M1093" s="8" t="s">
        <v>6996</v>
      </c>
      <c r="N1093" s="8" t="s">
        <v>118</v>
      </c>
      <c r="O1093" s="8" t="s">
        <v>403</v>
      </c>
      <c r="P1093" s="6" t="s">
        <v>43</v>
      </c>
      <c r="Q1093" s="8" t="s">
        <v>44</v>
      </c>
      <c r="R1093" s="10" t="s">
        <v>768</v>
      </c>
      <c r="S1093" s="11" t="s">
        <v>6997</v>
      </c>
      <c r="T1093" s="6"/>
      <c r="U1093" s="28" t="str">
        <f>HYPERLINK("https://media.infra-m.ru/1920/1920309/cover/1920309.jpg", "Обложка")</f>
        <v>Обложка</v>
      </c>
      <c r="V1093" s="28" t="str">
        <f>HYPERLINK("https://znanium.ru/catalog/product/1920309", "Ознакомиться")</f>
        <v>Ознакомиться</v>
      </c>
      <c r="W1093" s="8" t="s">
        <v>1077</v>
      </c>
      <c r="X1093" s="6"/>
      <c r="Y1093" s="6"/>
      <c r="Z1093" s="6" t="s">
        <v>48</v>
      </c>
      <c r="AA1093" s="6" t="s">
        <v>94</v>
      </c>
    </row>
    <row r="1094" spans="1:27" s="4" customFormat="1" ht="51.95" customHeight="1">
      <c r="A1094" s="5">
        <v>0</v>
      </c>
      <c r="B1094" s="6" t="s">
        <v>6998</v>
      </c>
      <c r="C1094" s="7">
        <v>2304.9</v>
      </c>
      <c r="D1094" s="8" t="s">
        <v>6999</v>
      </c>
      <c r="E1094" s="8" t="s">
        <v>7000</v>
      </c>
      <c r="F1094" s="8" t="s">
        <v>7001</v>
      </c>
      <c r="G1094" s="6" t="s">
        <v>37</v>
      </c>
      <c r="H1094" s="6" t="s">
        <v>38</v>
      </c>
      <c r="I1094" s="8" t="s">
        <v>56</v>
      </c>
      <c r="J1094" s="9">
        <v>1</v>
      </c>
      <c r="K1094" s="9">
        <v>512</v>
      </c>
      <c r="L1094" s="9">
        <v>2023</v>
      </c>
      <c r="M1094" s="8" t="s">
        <v>7002</v>
      </c>
      <c r="N1094" s="8" t="s">
        <v>504</v>
      </c>
      <c r="O1094" s="8" t="s">
        <v>746</v>
      </c>
      <c r="P1094" s="6" t="s">
        <v>43</v>
      </c>
      <c r="Q1094" s="8" t="s">
        <v>44</v>
      </c>
      <c r="R1094" s="10" t="s">
        <v>1318</v>
      </c>
      <c r="S1094" s="11" t="s">
        <v>993</v>
      </c>
      <c r="T1094" s="6"/>
      <c r="U1094" s="28" t="str">
        <f>HYPERLINK("https://media.infra-m.ru/1894/1894528/cover/1894528.jpg", "Обложка")</f>
        <v>Обложка</v>
      </c>
      <c r="V1094" s="28" t="str">
        <f>HYPERLINK("https://znanium.ru/catalog/product/1138798", "Ознакомиться")</f>
        <v>Ознакомиться</v>
      </c>
      <c r="W1094" s="8" t="s">
        <v>957</v>
      </c>
      <c r="X1094" s="6"/>
      <c r="Y1094" s="6"/>
      <c r="Z1094" s="6"/>
      <c r="AA1094" s="6" t="s">
        <v>237</v>
      </c>
    </row>
    <row r="1095" spans="1:27" s="4" customFormat="1" ht="51.95" customHeight="1">
      <c r="A1095" s="5">
        <v>0</v>
      </c>
      <c r="B1095" s="6" t="s">
        <v>7003</v>
      </c>
      <c r="C1095" s="13">
        <v>594</v>
      </c>
      <c r="D1095" s="8" t="s">
        <v>7004</v>
      </c>
      <c r="E1095" s="8" t="s">
        <v>7005</v>
      </c>
      <c r="F1095" s="8" t="s">
        <v>7006</v>
      </c>
      <c r="G1095" s="6" t="s">
        <v>54</v>
      </c>
      <c r="H1095" s="6" t="s">
        <v>38</v>
      </c>
      <c r="I1095" s="8" t="s">
        <v>39</v>
      </c>
      <c r="J1095" s="9">
        <v>1</v>
      </c>
      <c r="K1095" s="9">
        <v>97</v>
      </c>
      <c r="L1095" s="9">
        <v>2024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1000</v>
      </c>
      <c r="T1095" s="6"/>
      <c r="U1095" s="28" t="str">
        <f>HYPERLINK("https://media.infra-m.ru/1894/1894539/cover/1894539.jpg", "Обложка")</f>
        <v>Обложка</v>
      </c>
      <c r="V1095" s="28" t="str">
        <f>HYPERLINK("https://znanium.ru/catalog/product/1179510", "Ознакомиться")</f>
        <v>Ознакомиться</v>
      </c>
      <c r="W1095" s="8" t="s">
        <v>1779</v>
      </c>
      <c r="X1095" s="6"/>
      <c r="Y1095" s="6"/>
      <c r="Z1095" s="6"/>
      <c r="AA1095" s="6" t="s">
        <v>4513</v>
      </c>
    </row>
    <row r="1096" spans="1:27" s="4" customFormat="1" ht="51.95" customHeight="1">
      <c r="A1096" s="5">
        <v>0</v>
      </c>
      <c r="B1096" s="6" t="s">
        <v>7009</v>
      </c>
      <c r="C1096" s="7">
        <v>1300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274</v>
      </c>
      <c r="L1096" s="9">
        <v>2024</v>
      </c>
      <c r="M1096" s="8" t="s">
        <v>7013</v>
      </c>
      <c r="N1096" s="8" t="s">
        <v>504</v>
      </c>
      <c r="O1096" s="8" t="s">
        <v>746</v>
      </c>
      <c r="P1096" s="6" t="s">
        <v>43</v>
      </c>
      <c r="Q1096" s="8" t="s">
        <v>44</v>
      </c>
      <c r="R1096" s="10" t="s">
        <v>1318</v>
      </c>
      <c r="S1096" s="11" t="s">
        <v>7014</v>
      </c>
      <c r="T1096" s="6"/>
      <c r="U1096" s="28" t="str">
        <f>HYPERLINK("https://media.infra-m.ru/2048/2048137/cover/2048137.jpg", "Обложка")</f>
        <v>Обложка</v>
      </c>
      <c r="V1096" s="28" t="str">
        <f>HYPERLINK("https://znanium.ru/catalog/product/2048137", "Ознакомиться")</f>
        <v>Ознакомиться</v>
      </c>
      <c r="W1096" s="8" t="s">
        <v>2471</v>
      </c>
      <c r="X1096" s="6"/>
      <c r="Y1096" s="6"/>
      <c r="Z1096" s="6"/>
      <c r="AA1096" s="6" t="s">
        <v>213</v>
      </c>
    </row>
    <row r="1097" spans="1:27" s="4" customFormat="1" ht="51.95" customHeight="1">
      <c r="A1097" s="5">
        <v>0</v>
      </c>
      <c r="B1097" s="6" t="s">
        <v>7015</v>
      </c>
      <c r="C1097" s="7">
        <v>2520</v>
      </c>
      <c r="D1097" s="8" t="s">
        <v>7016</v>
      </c>
      <c r="E1097" s="8" t="s">
        <v>7017</v>
      </c>
      <c r="F1097" s="8" t="s">
        <v>7018</v>
      </c>
      <c r="G1097" s="6" t="s">
        <v>66</v>
      </c>
      <c r="H1097" s="6" t="s">
        <v>38</v>
      </c>
      <c r="I1097" s="8" t="s">
        <v>39</v>
      </c>
      <c r="J1097" s="9">
        <v>1</v>
      </c>
      <c r="K1097" s="9">
        <v>560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70</v>
      </c>
      <c r="Q1097" s="8" t="s">
        <v>44</v>
      </c>
      <c r="R1097" s="10" t="s">
        <v>7020</v>
      </c>
      <c r="S1097" s="11" t="s">
        <v>7021</v>
      </c>
      <c r="T1097" s="6"/>
      <c r="U1097" s="28" t="str">
        <f>HYPERLINK("https://media.infra-m.ru/1968/1968777/cover/1968777.jpg", "Обложка")</f>
        <v>Обложка</v>
      </c>
      <c r="V1097" s="28" t="str">
        <f>HYPERLINK("https://znanium.ru/catalog/product/1968777", "Ознакомиться")</f>
        <v>Ознакомиться</v>
      </c>
      <c r="W1097" s="8" t="s">
        <v>7022</v>
      </c>
      <c r="X1097" s="6"/>
      <c r="Y1097" s="6"/>
      <c r="Z1097" s="6"/>
      <c r="AA1097" s="6" t="s">
        <v>1590</v>
      </c>
    </row>
    <row r="1098" spans="1:27" s="4" customFormat="1" ht="51.95" customHeight="1">
      <c r="A1098" s="5">
        <v>0</v>
      </c>
      <c r="B1098" s="6" t="s">
        <v>7023</v>
      </c>
      <c r="C1098" s="7">
        <v>2034</v>
      </c>
      <c r="D1098" s="8" t="s">
        <v>7024</v>
      </c>
      <c r="E1098" s="8" t="s">
        <v>7025</v>
      </c>
      <c r="F1098" s="8" t="s">
        <v>7026</v>
      </c>
      <c r="G1098" s="6" t="s">
        <v>37</v>
      </c>
      <c r="H1098" s="6" t="s">
        <v>38</v>
      </c>
      <c r="I1098" s="8" t="s">
        <v>56</v>
      </c>
      <c r="J1098" s="9">
        <v>1</v>
      </c>
      <c r="K1098" s="9">
        <v>432</v>
      </c>
      <c r="L1098" s="9">
        <v>2024</v>
      </c>
      <c r="M1098" s="8" t="s">
        <v>7027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1318</v>
      </c>
      <c r="S1098" s="11" t="s">
        <v>7028</v>
      </c>
      <c r="T1098" s="6"/>
      <c r="U1098" s="28" t="str">
        <f>HYPERLINK("https://media.infra-m.ru/2083/2083157/cover/2083157.jpg", "Обложка")</f>
        <v>Обложка</v>
      </c>
      <c r="V1098" s="28" t="str">
        <f>HYPERLINK("https://znanium.ru/catalog/product/1012153", "Ознакомиться")</f>
        <v>Ознакомиться</v>
      </c>
      <c r="W1098" s="8" t="s">
        <v>1779</v>
      </c>
      <c r="X1098" s="6"/>
      <c r="Y1098" s="6"/>
      <c r="Z1098" s="6"/>
      <c r="AA1098" s="6" t="s">
        <v>1473</v>
      </c>
    </row>
    <row r="1099" spans="1:27" s="4" customFormat="1" ht="51.95" customHeight="1">
      <c r="A1099" s="5">
        <v>0</v>
      </c>
      <c r="B1099" s="6" t="s">
        <v>7029</v>
      </c>
      <c r="C1099" s="7">
        <v>1650</v>
      </c>
      <c r="D1099" s="8" t="s">
        <v>7030</v>
      </c>
      <c r="E1099" s="8" t="s">
        <v>7031</v>
      </c>
      <c r="F1099" s="8" t="s">
        <v>7032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351</v>
      </c>
      <c r="L1099" s="9">
        <v>2024</v>
      </c>
      <c r="M1099" s="8" t="s">
        <v>7033</v>
      </c>
      <c r="N1099" s="8" t="s">
        <v>41</v>
      </c>
      <c r="O1099" s="8" t="s">
        <v>514</v>
      </c>
      <c r="P1099" s="6" t="s">
        <v>43</v>
      </c>
      <c r="Q1099" s="8" t="s">
        <v>44</v>
      </c>
      <c r="R1099" s="10" t="s">
        <v>7034</v>
      </c>
      <c r="S1099" s="11" t="s">
        <v>4438</v>
      </c>
      <c r="T1099" s="6" t="s">
        <v>110</v>
      </c>
      <c r="U1099" s="28" t="str">
        <f>HYPERLINK("https://media.infra-m.ru/2142/2142959/cover/2142959.jpg", "Обложка")</f>
        <v>Обложка</v>
      </c>
      <c r="V1099" s="28" t="str">
        <f>HYPERLINK("https://znanium.ru/catalog/product/2142959", "Ознакомиться")</f>
        <v>Ознакомиться</v>
      </c>
      <c r="W1099" s="8" t="s">
        <v>1274</v>
      </c>
      <c r="X1099" s="6"/>
      <c r="Y1099" s="6"/>
      <c r="Z1099" s="6" t="s">
        <v>48</v>
      </c>
      <c r="AA1099" s="6" t="s">
        <v>414</v>
      </c>
    </row>
    <row r="1100" spans="1:27" s="4" customFormat="1" ht="51.95" customHeight="1">
      <c r="A1100" s="5">
        <v>0</v>
      </c>
      <c r="B1100" s="6" t="s">
        <v>7035</v>
      </c>
      <c r="C1100" s="13">
        <v>890</v>
      </c>
      <c r="D1100" s="8" t="s">
        <v>7036</v>
      </c>
      <c r="E1100" s="8" t="s">
        <v>7037</v>
      </c>
      <c r="F1100" s="8" t="s">
        <v>7038</v>
      </c>
      <c r="G1100" s="6" t="s">
        <v>66</v>
      </c>
      <c r="H1100" s="6" t="s">
        <v>79</v>
      </c>
      <c r="I1100" s="8" t="s">
        <v>39</v>
      </c>
      <c r="J1100" s="9">
        <v>1</v>
      </c>
      <c r="K1100" s="9">
        <v>197</v>
      </c>
      <c r="L1100" s="9">
        <v>2023</v>
      </c>
      <c r="M1100" s="8" t="s">
        <v>7039</v>
      </c>
      <c r="N1100" s="8" t="s">
        <v>1293</v>
      </c>
      <c r="O1100" s="8" t="s">
        <v>1294</v>
      </c>
      <c r="P1100" s="6" t="s">
        <v>1157</v>
      </c>
      <c r="Q1100" s="8" t="s">
        <v>44</v>
      </c>
      <c r="R1100" s="10" t="s">
        <v>7040</v>
      </c>
      <c r="S1100" s="11" t="s">
        <v>1764</v>
      </c>
      <c r="T1100" s="6"/>
      <c r="U1100" s="28" t="str">
        <f>HYPERLINK("https://media.infra-m.ru/1905/1905554/cover/1905554.jpg", "Обложка")</f>
        <v>Обложка</v>
      </c>
      <c r="V1100" s="28" t="str">
        <f>HYPERLINK("https://znanium.ru/catalog/product/1905554", "Ознакомиться")</f>
        <v>Ознакомиться</v>
      </c>
      <c r="W1100" s="8" t="s">
        <v>1274</v>
      </c>
      <c r="X1100" s="6"/>
      <c r="Y1100" s="6" t="s">
        <v>30</v>
      </c>
      <c r="Z1100" s="6" t="s">
        <v>48</v>
      </c>
      <c r="AA1100" s="6" t="s">
        <v>656</v>
      </c>
    </row>
    <row r="1101" spans="1:27" s="4" customFormat="1" ht="51.95" customHeight="1">
      <c r="A1101" s="5">
        <v>0</v>
      </c>
      <c r="B1101" s="6" t="s">
        <v>7041</v>
      </c>
      <c r="C1101" s="7">
        <v>1100</v>
      </c>
      <c r="D1101" s="8" t="s">
        <v>7042</v>
      </c>
      <c r="E1101" s="8" t="s">
        <v>7043</v>
      </c>
      <c r="F1101" s="8" t="s">
        <v>1220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246</v>
      </c>
      <c r="L1101" s="9">
        <v>2023</v>
      </c>
      <c r="M1101" s="8" t="s">
        <v>7044</v>
      </c>
      <c r="N1101" s="8" t="s">
        <v>41</v>
      </c>
      <c r="O1101" s="8" t="s">
        <v>1222</v>
      </c>
      <c r="P1101" s="6" t="s">
        <v>43</v>
      </c>
      <c r="Q1101" s="8" t="s">
        <v>44</v>
      </c>
      <c r="R1101" s="10" t="s">
        <v>7045</v>
      </c>
      <c r="S1101" s="11" t="s">
        <v>7046</v>
      </c>
      <c r="T1101" s="6"/>
      <c r="U1101" s="28" t="str">
        <f>HYPERLINK("https://media.infra-m.ru/1926/1926399/cover/1926399.jpg", "Обложка")</f>
        <v>Обложка</v>
      </c>
      <c r="V1101" s="28" t="str">
        <f>HYPERLINK("https://znanium.ru/catalog/product/1926399", "Ознакомиться")</f>
        <v>Ознакомиться</v>
      </c>
      <c r="W1101" s="8" t="s">
        <v>1225</v>
      </c>
      <c r="X1101" s="6"/>
      <c r="Y1101" s="6"/>
      <c r="Z1101" s="6" t="s">
        <v>48</v>
      </c>
      <c r="AA1101" s="6" t="s">
        <v>213</v>
      </c>
    </row>
    <row r="1102" spans="1:27" s="4" customFormat="1" ht="51.95" customHeight="1">
      <c r="A1102" s="5">
        <v>0</v>
      </c>
      <c r="B1102" s="6" t="s">
        <v>7047</v>
      </c>
      <c r="C1102" s="7">
        <v>1030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218</v>
      </c>
      <c r="L1102" s="9">
        <v>2024</v>
      </c>
      <c r="M1102" s="8" t="s">
        <v>7051</v>
      </c>
      <c r="N1102" s="8" t="s">
        <v>1171</v>
      </c>
      <c r="O1102" s="8" t="s">
        <v>1172</v>
      </c>
      <c r="P1102" s="6" t="s">
        <v>1157</v>
      </c>
      <c r="Q1102" s="8" t="s">
        <v>44</v>
      </c>
      <c r="R1102" s="10" t="s">
        <v>7052</v>
      </c>
      <c r="S1102" s="11" t="s">
        <v>7053</v>
      </c>
      <c r="T1102" s="6"/>
      <c r="U1102" s="28" t="str">
        <f>HYPERLINK("https://media.infra-m.ru/2142/2142960/cover/2142960.jpg", "Обложка")</f>
        <v>Обложка</v>
      </c>
      <c r="V1102" s="28" t="str">
        <f>HYPERLINK("https://znanium.ru/catalog/product/2142960", "Ознакомиться")</f>
        <v>Ознакомиться</v>
      </c>
      <c r="W1102" s="8" t="s">
        <v>7054</v>
      </c>
      <c r="X1102" s="6"/>
      <c r="Y1102" s="6"/>
      <c r="Z1102" s="6"/>
      <c r="AA1102" s="6" t="s">
        <v>656</v>
      </c>
    </row>
    <row r="1103" spans="1:27" s="4" customFormat="1" ht="51.95" customHeight="1">
      <c r="A1103" s="5">
        <v>0</v>
      </c>
      <c r="B1103" s="6" t="s">
        <v>7055</v>
      </c>
      <c r="C1103" s="13">
        <v>530</v>
      </c>
      <c r="D1103" s="8" t="s">
        <v>7056</v>
      </c>
      <c r="E1103" s="8" t="s">
        <v>7057</v>
      </c>
      <c r="F1103" s="8" t="s">
        <v>7058</v>
      </c>
      <c r="G1103" s="6" t="s">
        <v>54</v>
      </c>
      <c r="H1103" s="6" t="s">
        <v>79</v>
      </c>
      <c r="I1103" s="8" t="s">
        <v>39</v>
      </c>
      <c r="J1103" s="9">
        <v>1</v>
      </c>
      <c r="K1103" s="9">
        <v>112</v>
      </c>
      <c r="L1103" s="9">
        <v>2023</v>
      </c>
      <c r="M1103" s="8" t="s">
        <v>7059</v>
      </c>
      <c r="N1103" s="8" t="s">
        <v>118</v>
      </c>
      <c r="O1103" s="8" t="s">
        <v>403</v>
      </c>
      <c r="P1103" s="6" t="s">
        <v>43</v>
      </c>
      <c r="Q1103" s="8" t="s">
        <v>44</v>
      </c>
      <c r="R1103" s="10" t="s">
        <v>7060</v>
      </c>
      <c r="S1103" s="11" t="s">
        <v>3493</v>
      </c>
      <c r="T1103" s="6"/>
      <c r="U1103" s="28" t="str">
        <f>HYPERLINK("https://media.infra-m.ru/1998/1998740/cover/1998740.jpg", "Обложка")</f>
        <v>Обложка</v>
      </c>
      <c r="V1103" s="28" t="str">
        <f>HYPERLINK("https://znanium.ru/catalog/product/1998740", "Ознакомиться")</f>
        <v>Ознакомиться</v>
      </c>
      <c r="W1103" s="8" t="s">
        <v>73</v>
      </c>
      <c r="X1103" s="6"/>
      <c r="Y1103" s="6"/>
      <c r="Z1103" s="6" t="s">
        <v>48</v>
      </c>
      <c r="AA1103" s="6" t="s">
        <v>414</v>
      </c>
    </row>
    <row r="1104" spans="1:27" s="4" customFormat="1" ht="42" customHeight="1">
      <c r="A1104" s="5">
        <v>0</v>
      </c>
      <c r="B1104" s="6" t="s">
        <v>7061</v>
      </c>
      <c r="C1104" s="7">
        <v>1224.9000000000001</v>
      </c>
      <c r="D1104" s="8" t="s">
        <v>7062</v>
      </c>
      <c r="E1104" s="8" t="s">
        <v>7063</v>
      </c>
      <c r="F1104" s="8" t="s">
        <v>7064</v>
      </c>
      <c r="G1104" s="6" t="s">
        <v>66</v>
      </c>
      <c r="H1104" s="6" t="s">
        <v>344</v>
      </c>
      <c r="I1104" s="8" t="s">
        <v>1509</v>
      </c>
      <c r="J1104" s="9">
        <v>1</v>
      </c>
      <c r="K1104" s="9">
        <v>272</v>
      </c>
      <c r="L1104" s="9">
        <v>2023</v>
      </c>
      <c r="M1104" s="8" t="s">
        <v>7065</v>
      </c>
      <c r="N1104" s="8" t="s">
        <v>118</v>
      </c>
      <c r="O1104" s="8" t="s">
        <v>336</v>
      </c>
      <c r="P1104" s="6" t="s">
        <v>70</v>
      </c>
      <c r="Q1104" s="8" t="s">
        <v>44</v>
      </c>
      <c r="R1104" s="10" t="s">
        <v>346</v>
      </c>
      <c r="S1104" s="11"/>
      <c r="T1104" s="6"/>
      <c r="U1104" s="28" t="str">
        <f>HYPERLINK("https://media.infra-m.ru/1893/1893953/cover/1893953.jpg", "Обложка")</f>
        <v>Обложка</v>
      </c>
      <c r="V1104" s="28" t="str">
        <f>HYPERLINK("https://znanium.ru/catalog/product/2066409", "Ознакомиться")</f>
        <v>Ознакомиться</v>
      </c>
      <c r="W1104" s="8" t="s">
        <v>347</v>
      </c>
      <c r="X1104" s="6"/>
      <c r="Y1104" s="6"/>
      <c r="Z1104" s="6"/>
      <c r="AA1104" s="6" t="s">
        <v>2222</v>
      </c>
    </row>
    <row r="1105" spans="1:27" s="4" customFormat="1" ht="42" customHeight="1">
      <c r="A1105" s="5">
        <v>0</v>
      </c>
      <c r="B1105" s="6" t="s">
        <v>7066</v>
      </c>
      <c r="C1105" s="7">
        <v>1220</v>
      </c>
      <c r="D1105" s="8" t="s">
        <v>7067</v>
      </c>
      <c r="E1105" s="8" t="s">
        <v>7068</v>
      </c>
      <c r="F1105" s="8" t="s">
        <v>7064</v>
      </c>
      <c r="G1105" s="6" t="s">
        <v>66</v>
      </c>
      <c r="H1105" s="6" t="s">
        <v>344</v>
      </c>
      <c r="I1105" s="8" t="s">
        <v>1509</v>
      </c>
      <c r="J1105" s="9">
        <v>1</v>
      </c>
      <c r="K1105" s="9">
        <v>256</v>
      </c>
      <c r="L1105" s="9">
        <v>2023</v>
      </c>
      <c r="M1105" s="8" t="s">
        <v>7069</v>
      </c>
      <c r="N1105" s="8" t="s">
        <v>118</v>
      </c>
      <c r="O1105" s="8" t="s">
        <v>336</v>
      </c>
      <c r="P1105" s="6" t="s">
        <v>70</v>
      </c>
      <c r="Q1105" s="8" t="s">
        <v>44</v>
      </c>
      <c r="R1105" s="10" t="s">
        <v>346</v>
      </c>
      <c r="S1105" s="11"/>
      <c r="T1105" s="6"/>
      <c r="U1105" s="28" t="str">
        <f>HYPERLINK("https://media.infra-m.ru/2066/2066409/cover/2066409.jpg", "Обложка")</f>
        <v>Обложка</v>
      </c>
      <c r="V1105" s="28" t="str">
        <f>HYPERLINK("https://znanium.ru/catalog/product/2066409", "Ознакомиться")</f>
        <v>Ознакомиться</v>
      </c>
      <c r="W1105" s="8" t="s">
        <v>347</v>
      </c>
      <c r="X1105" s="6" t="s">
        <v>84</v>
      </c>
      <c r="Y1105" s="6"/>
      <c r="Z1105" s="6"/>
      <c r="AA1105" s="6" t="s">
        <v>7070</v>
      </c>
    </row>
    <row r="1106" spans="1:27" s="4" customFormat="1" ht="51.95" customHeight="1">
      <c r="A1106" s="5">
        <v>0</v>
      </c>
      <c r="B1106" s="6" t="s">
        <v>7071</v>
      </c>
      <c r="C1106" s="13">
        <v>974.9</v>
      </c>
      <c r="D1106" s="8" t="s">
        <v>7072</v>
      </c>
      <c r="E1106" s="8" t="s">
        <v>7073</v>
      </c>
      <c r="F1106" s="8" t="s">
        <v>7074</v>
      </c>
      <c r="G1106" s="6" t="s">
        <v>37</v>
      </c>
      <c r="H1106" s="6" t="s">
        <v>283</v>
      </c>
      <c r="I1106" s="8" t="s">
        <v>56</v>
      </c>
      <c r="J1106" s="9">
        <v>1</v>
      </c>
      <c r="K1106" s="9">
        <v>288</v>
      </c>
      <c r="L1106" s="9">
        <v>2020</v>
      </c>
      <c r="M1106" s="8" t="s">
        <v>7075</v>
      </c>
      <c r="N1106" s="8" t="s">
        <v>118</v>
      </c>
      <c r="O1106" s="8" t="s">
        <v>336</v>
      </c>
      <c r="P1106" s="6" t="s">
        <v>43</v>
      </c>
      <c r="Q1106" s="8" t="s">
        <v>44</v>
      </c>
      <c r="R1106" s="10" t="s">
        <v>7076</v>
      </c>
      <c r="S1106" s="11" t="s">
        <v>7077</v>
      </c>
      <c r="T1106" s="6"/>
      <c r="U1106" s="28" t="str">
        <f>HYPERLINK("https://media.infra-m.ru/1052/1052235/cover/1052235.jpg", "Обложка")</f>
        <v>Обложка</v>
      </c>
      <c r="V1106" s="28" t="str">
        <f>HYPERLINK("https://znanium.ru/catalog/product/1052235", "Ознакомиться")</f>
        <v>Ознакомиться</v>
      </c>
      <c r="W1106" s="8" t="s">
        <v>431</v>
      </c>
      <c r="X1106" s="6"/>
      <c r="Y1106" s="6"/>
      <c r="Z1106" s="6"/>
      <c r="AA1106" s="6" t="s">
        <v>74</v>
      </c>
    </row>
    <row r="1107" spans="1:27" s="4" customFormat="1" ht="51.95" customHeight="1">
      <c r="A1107" s="5">
        <v>0</v>
      </c>
      <c r="B1107" s="6" t="s">
        <v>7078</v>
      </c>
      <c r="C1107" s="13">
        <v>430</v>
      </c>
      <c r="D1107" s="8" t="s">
        <v>7079</v>
      </c>
      <c r="E1107" s="8" t="s">
        <v>7080</v>
      </c>
      <c r="F1107" s="8" t="s">
        <v>7081</v>
      </c>
      <c r="G1107" s="6" t="s">
        <v>37</v>
      </c>
      <c r="H1107" s="6" t="s">
        <v>79</v>
      </c>
      <c r="I1107" s="8" t="s">
        <v>39</v>
      </c>
      <c r="J1107" s="9">
        <v>1</v>
      </c>
      <c r="K1107" s="9">
        <v>135</v>
      </c>
      <c r="L1107" s="9">
        <v>2019</v>
      </c>
      <c r="M1107" s="8" t="s">
        <v>7082</v>
      </c>
      <c r="N1107" s="8" t="s">
        <v>118</v>
      </c>
      <c r="O1107" s="8" t="s">
        <v>403</v>
      </c>
      <c r="P1107" s="6" t="s">
        <v>43</v>
      </c>
      <c r="Q1107" s="8" t="s">
        <v>44</v>
      </c>
      <c r="R1107" s="10" t="s">
        <v>7083</v>
      </c>
      <c r="S1107" s="11" t="s">
        <v>2774</v>
      </c>
      <c r="T1107" s="6"/>
      <c r="U1107" s="28" t="str">
        <f>HYPERLINK("https://media.infra-m.ru/1029/1029651/cover/1029651.jpg", "Обложка")</f>
        <v>Обложка</v>
      </c>
      <c r="V1107" s="28" t="str">
        <f>HYPERLINK("https://znanium.ru/catalog/product/1029651", "Ознакомиться")</f>
        <v>Ознакомиться</v>
      </c>
      <c r="W1107" s="8" t="s">
        <v>936</v>
      </c>
      <c r="X1107" s="6"/>
      <c r="Y1107" s="6"/>
      <c r="Z1107" s="6" t="s">
        <v>48</v>
      </c>
      <c r="AA1107" s="6" t="s">
        <v>94</v>
      </c>
    </row>
    <row r="1108" spans="1:27" s="4" customFormat="1" ht="51.95" customHeight="1">
      <c r="A1108" s="5">
        <v>0</v>
      </c>
      <c r="B1108" s="6" t="s">
        <v>7084</v>
      </c>
      <c r="C1108" s="7">
        <v>1940</v>
      </c>
      <c r="D1108" s="8" t="s">
        <v>7085</v>
      </c>
      <c r="E1108" s="8" t="s">
        <v>7086</v>
      </c>
      <c r="F1108" s="8" t="s">
        <v>7087</v>
      </c>
      <c r="G1108" s="6" t="s">
        <v>37</v>
      </c>
      <c r="H1108" s="6" t="s">
        <v>79</v>
      </c>
      <c r="I1108" s="8" t="s">
        <v>39</v>
      </c>
      <c r="J1108" s="9">
        <v>1</v>
      </c>
      <c r="K1108" s="9">
        <v>421</v>
      </c>
      <c r="L1108" s="9">
        <v>2023</v>
      </c>
      <c r="M1108" s="8" t="s">
        <v>7088</v>
      </c>
      <c r="N1108" s="8" t="s">
        <v>118</v>
      </c>
      <c r="O1108" s="8" t="s">
        <v>403</v>
      </c>
      <c r="P1108" s="6" t="s">
        <v>70</v>
      </c>
      <c r="Q1108" s="8" t="s">
        <v>44</v>
      </c>
      <c r="R1108" s="10" t="s">
        <v>437</v>
      </c>
      <c r="S1108" s="11" t="s">
        <v>7089</v>
      </c>
      <c r="T1108" s="6"/>
      <c r="U1108" s="28" t="str">
        <f>HYPERLINK("https://media.infra-m.ru/1123/1123729/cover/1123729.jpg", "Обложка")</f>
        <v>Обложка</v>
      </c>
      <c r="V1108" s="28" t="str">
        <f>HYPERLINK("https://znanium.ru/catalog/product/1123729", "Ознакомиться")</f>
        <v>Ознакомиться</v>
      </c>
      <c r="W1108" s="8" t="s">
        <v>1629</v>
      </c>
      <c r="X1108" s="6"/>
      <c r="Y1108" s="6"/>
      <c r="Z1108" s="6" t="s">
        <v>48</v>
      </c>
      <c r="AA1108" s="6" t="s">
        <v>85</v>
      </c>
    </row>
    <row r="1109" spans="1:27" s="4" customFormat="1" ht="51.95" customHeight="1">
      <c r="A1109" s="5">
        <v>0</v>
      </c>
      <c r="B1109" s="6" t="s">
        <v>7090</v>
      </c>
      <c r="C1109" s="7">
        <v>1344</v>
      </c>
      <c r="D1109" s="8" t="s">
        <v>7091</v>
      </c>
      <c r="E1109" s="8" t="s">
        <v>7092</v>
      </c>
      <c r="F1109" s="8" t="s">
        <v>7093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285</v>
      </c>
      <c r="L1109" s="9">
        <v>2024</v>
      </c>
      <c r="M1109" s="8" t="s">
        <v>7094</v>
      </c>
      <c r="N1109" s="8" t="s">
        <v>118</v>
      </c>
      <c r="O1109" s="8" t="s">
        <v>403</v>
      </c>
      <c r="P1109" s="6" t="s">
        <v>43</v>
      </c>
      <c r="Q1109" s="8" t="s">
        <v>44</v>
      </c>
      <c r="R1109" s="10" t="s">
        <v>7083</v>
      </c>
      <c r="S1109" s="11" t="s">
        <v>7095</v>
      </c>
      <c r="T1109" s="6"/>
      <c r="U1109" s="28" t="str">
        <f>HYPERLINK("https://media.infra-m.ru/2130/2130240/cover/2130240.jpg", "Обложка")</f>
        <v>Обложка</v>
      </c>
      <c r="V1109" s="28" t="str">
        <f>HYPERLINK("https://znanium.ru/catalog/product/1843215", "Ознакомиться")</f>
        <v>Ознакомиться</v>
      </c>
      <c r="W1109" s="8" t="s">
        <v>2179</v>
      </c>
      <c r="X1109" s="6"/>
      <c r="Y1109" s="6"/>
      <c r="Z1109" s="6" t="s">
        <v>48</v>
      </c>
      <c r="AA1109" s="6" t="s">
        <v>656</v>
      </c>
    </row>
    <row r="1110" spans="1:27" s="4" customFormat="1" ht="42" customHeight="1">
      <c r="A1110" s="5">
        <v>0</v>
      </c>
      <c r="B1110" s="6" t="s">
        <v>7096</v>
      </c>
      <c r="C1110" s="13">
        <v>950</v>
      </c>
      <c r="D1110" s="8" t="s">
        <v>7097</v>
      </c>
      <c r="E1110" s="8" t="s">
        <v>7098</v>
      </c>
      <c r="F1110" s="8" t="s">
        <v>401</v>
      </c>
      <c r="G1110" s="6" t="s">
        <v>54</v>
      </c>
      <c r="H1110" s="6" t="s">
        <v>55</v>
      </c>
      <c r="I1110" s="8" t="s">
        <v>56</v>
      </c>
      <c r="J1110" s="9">
        <v>1</v>
      </c>
      <c r="K1110" s="9">
        <v>202</v>
      </c>
      <c r="L1110" s="9">
        <v>2024</v>
      </c>
      <c r="M1110" s="8" t="s">
        <v>7099</v>
      </c>
      <c r="N1110" s="8" t="s">
        <v>118</v>
      </c>
      <c r="O1110" s="8" t="s">
        <v>403</v>
      </c>
      <c r="P1110" s="6" t="s">
        <v>70</v>
      </c>
      <c r="Q1110" s="8" t="s">
        <v>44</v>
      </c>
      <c r="R1110" s="10" t="s">
        <v>7100</v>
      </c>
      <c r="S1110" s="11"/>
      <c r="T1110" s="6"/>
      <c r="U1110" s="28" t="str">
        <f>HYPERLINK("https://media.infra-m.ru/2125/2125002/cover/2125002.jpg", "Обложка")</f>
        <v>Обложка</v>
      </c>
      <c r="V1110" s="28" t="str">
        <f>HYPERLINK("https://znanium.ru/catalog/product/2125002", "Ознакомиться")</f>
        <v>Ознакомиться</v>
      </c>
      <c r="W1110" s="8" t="s">
        <v>405</v>
      </c>
      <c r="X1110" s="6"/>
      <c r="Y1110" s="6"/>
      <c r="Z1110" s="6"/>
      <c r="AA1110" s="6" t="s">
        <v>671</v>
      </c>
    </row>
    <row r="1111" spans="1:27" s="4" customFormat="1" ht="51.95" customHeight="1">
      <c r="A1111" s="5">
        <v>0</v>
      </c>
      <c r="B1111" s="6" t="s">
        <v>7101</v>
      </c>
      <c r="C1111" s="7">
        <v>1570</v>
      </c>
      <c r="D1111" s="8" t="s">
        <v>7102</v>
      </c>
      <c r="E1111" s="8" t="s">
        <v>7103</v>
      </c>
      <c r="F1111" s="8" t="s">
        <v>7104</v>
      </c>
      <c r="G1111" s="6" t="s">
        <v>66</v>
      </c>
      <c r="H1111" s="6" t="s">
        <v>283</v>
      </c>
      <c r="I1111" s="8" t="s">
        <v>39</v>
      </c>
      <c r="J1111" s="9">
        <v>1</v>
      </c>
      <c r="K1111" s="9">
        <v>336</v>
      </c>
      <c r="L1111" s="9">
        <v>2024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7060</v>
      </c>
      <c r="S1111" s="11" t="s">
        <v>7106</v>
      </c>
      <c r="T1111" s="6"/>
      <c r="U1111" s="28" t="str">
        <f>HYPERLINK("https://media.infra-m.ru/2110/2110036/cover/2110036.jpg", "Обложка")</f>
        <v>Обложка</v>
      </c>
      <c r="V1111" s="28" t="str">
        <f>HYPERLINK("https://znanium.ru/catalog/product/2110036", "Ознакомиться")</f>
        <v>Ознакомиться</v>
      </c>
      <c r="W1111" s="8" t="s">
        <v>83</v>
      </c>
      <c r="X1111" s="6"/>
      <c r="Y1111" s="6"/>
      <c r="Z1111" s="6"/>
      <c r="AA1111" s="6" t="s">
        <v>5328</v>
      </c>
    </row>
    <row r="1112" spans="1:27" s="4" customFormat="1" ht="51.95" customHeight="1">
      <c r="A1112" s="5">
        <v>0</v>
      </c>
      <c r="B1112" s="6" t="s">
        <v>7107</v>
      </c>
      <c r="C1112" s="7">
        <v>1944</v>
      </c>
      <c r="D1112" s="8" t="s">
        <v>7108</v>
      </c>
      <c r="E1112" s="8" t="s">
        <v>7109</v>
      </c>
      <c r="F1112" s="8" t="s">
        <v>7110</v>
      </c>
      <c r="G1112" s="6" t="s">
        <v>66</v>
      </c>
      <c r="H1112" s="6" t="s">
        <v>38</v>
      </c>
      <c r="I1112" s="8" t="s">
        <v>56</v>
      </c>
      <c r="J1112" s="9">
        <v>1</v>
      </c>
      <c r="K1112" s="9">
        <v>414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70</v>
      </c>
      <c r="Q1112" s="8" t="s">
        <v>44</v>
      </c>
      <c r="R1112" s="10" t="s">
        <v>7060</v>
      </c>
      <c r="S1112" s="11" t="s">
        <v>7112</v>
      </c>
      <c r="T1112" s="6"/>
      <c r="U1112" s="28" t="str">
        <f>HYPERLINK("https://media.infra-m.ru/2137/2137026/cover/2137026.jpg", "Обложка")</f>
        <v>Обложка</v>
      </c>
      <c r="V1112" s="28" t="str">
        <f>HYPERLINK("https://znanium.ru/catalog/product/1215825", "Ознакомиться")</f>
        <v>Ознакомиться</v>
      </c>
      <c r="W1112" s="8" t="s">
        <v>60</v>
      </c>
      <c r="X1112" s="6"/>
      <c r="Y1112" s="6"/>
      <c r="Z1112" s="6"/>
      <c r="AA1112" s="6" t="s">
        <v>482</v>
      </c>
    </row>
    <row r="1113" spans="1:27" s="4" customFormat="1" ht="42" customHeight="1">
      <c r="A1113" s="5">
        <v>0</v>
      </c>
      <c r="B1113" s="6" t="s">
        <v>7113</v>
      </c>
      <c r="C1113" s="7">
        <v>1270</v>
      </c>
      <c r="D1113" s="8" t="s">
        <v>7114</v>
      </c>
      <c r="E1113" s="8" t="s">
        <v>7115</v>
      </c>
      <c r="F1113" s="8" t="s">
        <v>7116</v>
      </c>
      <c r="G1113" s="6" t="s">
        <v>37</v>
      </c>
      <c r="H1113" s="6" t="s">
        <v>79</v>
      </c>
      <c r="I1113" s="8" t="s">
        <v>39</v>
      </c>
      <c r="J1113" s="9">
        <v>1</v>
      </c>
      <c r="K1113" s="9">
        <v>261</v>
      </c>
      <c r="L1113" s="9">
        <v>2023</v>
      </c>
      <c r="M1113" s="8" t="s">
        <v>7117</v>
      </c>
      <c r="N1113" s="8" t="s">
        <v>118</v>
      </c>
      <c r="O1113" s="8" t="s">
        <v>403</v>
      </c>
      <c r="P1113" s="6" t="s">
        <v>43</v>
      </c>
      <c r="Q1113" s="8" t="s">
        <v>44</v>
      </c>
      <c r="R1113" s="10" t="s">
        <v>7083</v>
      </c>
      <c r="S1113" s="11"/>
      <c r="T1113" s="6"/>
      <c r="U1113" s="28" t="str">
        <f>HYPERLINK("https://media.infra-m.ru/1550/1550594/cover/1550594.jpg", "Обложка")</f>
        <v>Обложка</v>
      </c>
      <c r="V1113" s="28" t="str">
        <f>HYPERLINK("https://znanium.ru/catalog/product/1550594", "Ознакомиться")</f>
        <v>Ознакомиться</v>
      </c>
      <c r="W1113" s="8" t="s">
        <v>3471</v>
      </c>
      <c r="X1113" s="6" t="s">
        <v>635</v>
      </c>
      <c r="Y1113" s="6"/>
      <c r="Z1113" s="6"/>
      <c r="AA1113" s="6" t="s">
        <v>85</v>
      </c>
    </row>
    <row r="1114" spans="1:27" s="4" customFormat="1" ht="51.95" customHeight="1">
      <c r="A1114" s="5">
        <v>0</v>
      </c>
      <c r="B1114" s="6" t="s">
        <v>7118</v>
      </c>
      <c r="C1114" s="7">
        <v>1044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79</v>
      </c>
      <c r="I1114" s="8" t="s">
        <v>39</v>
      </c>
      <c r="J1114" s="9">
        <v>1</v>
      </c>
      <c r="K1114" s="9">
        <v>221</v>
      </c>
      <c r="L1114" s="9">
        <v>2024</v>
      </c>
      <c r="M1114" s="8" t="s">
        <v>7122</v>
      </c>
      <c r="N1114" s="8" t="s">
        <v>68</v>
      </c>
      <c r="O1114" s="8" t="s">
        <v>699</v>
      </c>
      <c r="P1114" s="6" t="s">
        <v>43</v>
      </c>
      <c r="Q1114" s="8" t="s">
        <v>44</v>
      </c>
      <c r="R1114" s="10" t="s">
        <v>7123</v>
      </c>
      <c r="S1114" s="11" t="s">
        <v>7124</v>
      </c>
      <c r="T1114" s="6" t="s">
        <v>110</v>
      </c>
      <c r="U1114" s="28" t="str">
        <f>HYPERLINK("https://media.infra-m.ru/2151/2151181/cover/2151181.jpg", "Обложка")</f>
        <v>Обложка</v>
      </c>
      <c r="V1114" s="28" t="str">
        <f>HYPERLINK("https://znanium.ru/catalog/product/2107429", "Ознакомиться")</f>
        <v>Ознакомиться</v>
      </c>
      <c r="W1114" s="8" t="s">
        <v>2790</v>
      </c>
      <c r="X1114" s="6"/>
      <c r="Y1114" s="6"/>
      <c r="Z1114" s="6"/>
      <c r="AA1114" s="6" t="s">
        <v>138</v>
      </c>
    </row>
    <row r="1115" spans="1:27" s="4" customFormat="1" ht="51.95" customHeight="1">
      <c r="A1115" s="5">
        <v>0</v>
      </c>
      <c r="B1115" s="6" t="s">
        <v>7125</v>
      </c>
      <c r="C1115" s="13">
        <v>744.9</v>
      </c>
      <c r="D1115" s="8" t="s">
        <v>7126</v>
      </c>
      <c r="E1115" s="8" t="s">
        <v>7127</v>
      </c>
      <c r="F1115" s="8" t="s">
        <v>7128</v>
      </c>
      <c r="G1115" s="6" t="s">
        <v>37</v>
      </c>
      <c r="H1115" s="6" t="s">
        <v>283</v>
      </c>
      <c r="I1115" s="8" t="s">
        <v>56</v>
      </c>
      <c r="J1115" s="9">
        <v>20</v>
      </c>
      <c r="K1115" s="9">
        <v>256</v>
      </c>
      <c r="L1115" s="9">
        <v>2017</v>
      </c>
      <c r="M1115" s="8" t="s">
        <v>7129</v>
      </c>
      <c r="N1115" s="8" t="s">
        <v>68</v>
      </c>
      <c r="O1115" s="8" t="s">
        <v>69</v>
      </c>
      <c r="P1115" s="6" t="s">
        <v>43</v>
      </c>
      <c r="Q1115" s="8" t="s">
        <v>44</v>
      </c>
      <c r="R1115" s="10" t="s">
        <v>3547</v>
      </c>
      <c r="S1115" s="11" t="s">
        <v>7130</v>
      </c>
      <c r="T1115" s="6"/>
      <c r="U1115" s="28" t="str">
        <f>HYPERLINK("https://media.infra-m.ru/0608/0608688/cover/608688.jpg", "Обложка")</f>
        <v>Обложка</v>
      </c>
      <c r="V1115" s="28" t="str">
        <f>HYPERLINK("https://znanium.ru/catalog/product/1237092", "Ознакомиться")</f>
        <v>Ознакомиться</v>
      </c>
      <c r="W1115" s="8" t="s">
        <v>7131</v>
      </c>
      <c r="X1115" s="6"/>
      <c r="Y1115" s="6"/>
      <c r="Z1115" s="6"/>
      <c r="AA1115" s="6" t="s">
        <v>254</v>
      </c>
    </row>
    <row r="1116" spans="1:27" s="4" customFormat="1" ht="51.95" customHeight="1">
      <c r="A1116" s="5">
        <v>0</v>
      </c>
      <c r="B1116" s="6" t="s">
        <v>7132</v>
      </c>
      <c r="C1116" s="7">
        <v>1870</v>
      </c>
      <c r="D1116" s="8" t="s">
        <v>7133</v>
      </c>
      <c r="E1116" s="8" t="s">
        <v>7134</v>
      </c>
      <c r="F1116" s="8" t="s">
        <v>7135</v>
      </c>
      <c r="G1116" s="6" t="s">
        <v>66</v>
      </c>
      <c r="H1116" s="6" t="s">
        <v>38</v>
      </c>
      <c r="I1116" s="8" t="s">
        <v>39</v>
      </c>
      <c r="J1116" s="9">
        <v>1</v>
      </c>
      <c r="K1116" s="9">
        <v>416</v>
      </c>
      <c r="L1116" s="9">
        <v>2023</v>
      </c>
      <c r="M1116" s="8" t="s">
        <v>7136</v>
      </c>
      <c r="N1116" s="8" t="s">
        <v>41</v>
      </c>
      <c r="O1116" s="8" t="s">
        <v>160</v>
      </c>
      <c r="P1116" s="6" t="s">
        <v>43</v>
      </c>
      <c r="Q1116" s="8" t="s">
        <v>44</v>
      </c>
      <c r="R1116" s="10" t="s">
        <v>7137</v>
      </c>
      <c r="S1116" s="11" t="s">
        <v>3178</v>
      </c>
      <c r="T1116" s="6"/>
      <c r="U1116" s="28" t="str">
        <f>HYPERLINK("https://media.infra-m.ru/1965/1965754/cover/1965754.jpg", "Обложка")</f>
        <v>Обложка</v>
      </c>
      <c r="V1116" s="28" t="str">
        <f>HYPERLINK("https://znanium.ru/catalog/product/1965754", "Ознакомиться")</f>
        <v>Ознакомиться</v>
      </c>
      <c r="W1116" s="8" t="s">
        <v>1938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7138</v>
      </c>
      <c r="C1117" s="13">
        <v>939.9</v>
      </c>
      <c r="D1117" s="8" t="s">
        <v>7139</v>
      </c>
      <c r="E1117" s="8" t="s">
        <v>7140</v>
      </c>
      <c r="F1117" s="8" t="s">
        <v>6229</v>
      </c>
      <c r="G1117" s="6" t="s">
        <v>66</v>
      </c>
      <c r="H1117" s="6" t="s">
        <v>581</v>
      </c>
      <c r="I1117" s="8" t="s">
        <v>582</v>
      </c>
      <c r="J1117" s="9">
        <v>1</v>
      </c>
      <c r="K1117" s="9">
        <v>319</v>
      </c>
      <c r="L1117" s="9">
        <v>2017</v>
      </c>
      <c r="M1117" s="8" t="s">
        <v>7141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6231</v>
      </c>
      <c r="S1117" s="11" t="s">
        <v>7142</v>
      </c>
      <c r="T1117" s="6"/>
      <c r="U1117" s="28" t="str">
        <f>HYPERLINK("https://media.infra-m.ru/0809/0809827/cover/809827.jpg", "Обложка")</f>
        <v>Обложка</v>
      </c>
      <c r="V1117" s="28" t="str">
        <f>HYPERLINK("https://znanium.ru/catalog/product/2139080", "Ознакомиться")</f>
        <v>Ознакомиться</v>
      </c>
      <c r="W1117" s="8" t="s">
        <v>163</v>
      </c>
      <c r="X1117" s="6"/>
      <c r="Y1117" s="6"/>
      <c r="Z1117" s="6"/>
      <c r="AA1117" s="6" t="s">
        <v>1473</v>
      </c>
    </row>
    <row r="1118" spans="1:27" s="4" customFormat="1" ht="51.95" customHeight="1">
      <c r="A1118" s="5">
        <v>0</v>
      </c>
      <c r="B1118" s="6" t="s">
        <v>7143</v>
      </c>
      <c r="C1118" s="13">
        <v>990</v>
      </c>
      <c r="D1118" s="8" t="s">
        <v>7144</v>
      </c>
      <c r="E1118" s="8" t="s">
        <v>7145</v>
      </c>
      <c r="F1118" s="8" t="s">
        <v>7146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218</v>
      </c>
      <c r="L1118" s="9">
        <v>2023</v>
      </c>
      <c r="M1118" s="8" t="s">
        <v>7147</v>
      </c>
      <c r="N1118" s="8" t="s">
        <v>41</v>
      </c>
      <c r="O1118" s="8" t="s">
        <v>178</v>
      </c>
      <c r="P1118" s="6" t="s">
        <v>70</v>
      </c>
      <c r="Q1118" s="8" t="s">
        <v>44</v>
      </c>
      <c r="R1118" s="10" t="s">
        <v>7148</v>
      </c>
      <c r="S1118" s="11" t="s">
        <v>7149</v>
      </c>
      <c r="T1118" s="6"/>
      <c r="U1118" s="28" t="str">
        <f>HYPERLINK("https://media.infra-m.ru/2023/2023172/cover/2023172.jpg", "Обложка")</f>
        <v>Обложка</v>
      </c>
      <c r="V1118" s="28" t="str">
        <f>HYPERLINK("https://znanium.ru/catalog/product/2023172", "Ознакомиться")</f>
        <v>Ознакомиться</v>
      </c>
      <c r="W1118" s="8" t="s">
        <v>181</v>
      </c>
      <c r="X1118" s="6"/>
      <c r="Y1118" s="6" t="s">
        <v>30</v>
      </c>
      <c r="Z1118" s="6"/>
      <c r="AA1118" s="6" t="s">
        <v>221</v>
      </c>
    </row>
    <row r="1119" spans="1:27" s="4" customFormat="1" ht="51.95" customHeight="1">
      <c r="A1119" s="5">
        <v>0</v>
      </c>
      <c r="B1119" s="6" t="s">
        <v>7150</v>
      </c>
      <c r="C1119" s="7">
        <v>1960</v>
      </c>
      <c r="D1119" s="8" t="s">
        <v>7151</v>
      </c>
      <c r="E1119" s="8" t="s">
        <v>7152</v>
      </c>
      <c r="F1119" s="8" t="s">
        <v>7153</v>
      </c>
      <c r="G1119" s="6" t="s">
        <v>37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2024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1000</v>
      </c>
      <c r="T1119" s="6"/>
      <c r="U1119" s="28" t="str">
        <f>HYPERLINK("https://media.infra-m.ru/2048/2048906/cover/2048906.jpg", "Обложка")</f>
        <v>Обложка</v>
      </c>
      <c r="V1119" s="28" t="str">
        <f>HYPERLINK("https://znanium.ru/catalog/product/2048906", "Ознакомиться")</f>
        <v>Ознакомиться</v>
      </c>
      <c r="W1119" s="8" t="s">
        <v>3714</v>
      </c>
      <c r="X1119" s="6"/>
      <c r="Y1119" s="6"/>
      <c r="Z1119" s="6"/>
      <c r="AA1119" s="6" t="s">
        <v>366</v>
      </c>
    </row>
    <row r="1120" spans="1:27" s="4" customFormat="1" ht="51.95" customHeight="1">
      <c r="A1120" s="5">
        <v>0</v>
      </c>
      <c r="B1120" s="6" t="s">
        <v>7156</v>
      </c>
      <c r="C1120" s="7">
        <v>2304</v>
      </c>
      <c r="D1120" s="8" t="s">
        <v>7157</v>
      </c>
      <c r="E1120" s="8" t="s">
        <v>7158</v>
      </c>
      <c r="F1120" s="8" t="s">
        <v>7159</v>
      </c>
      <c r="G1120" s="6" t="s">
        <v>37</v>
      </c>
      <c r="H1120" s="6" t="s">
        <v>38</v>
      </c>
      <c r="I1120" s="8" t="s">
        <v>56</v>
      </c>
      <c r="J1120" s="9">
        <v>1</v>
      </c>
      <c r="K1120" s="9">
        <v>576</v>
      </c>
      <c r="L1120" s="9">
        <v>2024</v>
      </c>
      <c r="M1120" s="8" t="s">
        <v>7160</v>
      </c>
      <c r="N1120" s="8" t="s">
        <v>41</v>
      </c>
      <c r="O1120" s="8" t="s">
        <v>514</v>
      </c>
      <c r="P1120" s="6" t="s">
        <v>43</v>
      </c>
      <c r="Q1120" s="8" t="s">
        <v>44</v>
      </c>
      <c r="R1120" s="10" t="s">
        <v>515</v>
      </c>
      <c r="S1120" s="11" t="s">
        <v>7161</v>
      </c>
      <c r="T1120" s="6"/>
      <c r="U1120" s="28" t="str">
        <f>HYPERLINK("https://media.infra-m.ru/2073/2073487/cover/2073487.jpg", "Обложка")</f>
        <v>Обложка</v>
      </c>
      <c r="V1120" s="12"/>
      <c r="W1120" s="8" t="s">
        <v>7162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7163</v>
      </c>
      <c r="C1121" s="7">
        <v>2594</v>
      </c>
      <c r="D1121" s="8" t="s">
        <v>7164</v>
      </c>
      <c r="E1121" s="8" t="s">
        <v>7165</v>
      </c>
      <c r="F1121" s="8" t="s">
        <v>7166</v>
      </c>
      <c r="G1121" s="6" t="s">
        <v>37</v>
      </c>
      <c r="H1121" s="6" t="s">
        <v>79</v>
      </c>
      <c r="I1121" s="8" t="s">
        <v>39</v>
      </c>
      <c r="J1121" s="9">
        <v>1</v>
      </c>
      <c r="K1121" s="9">
        <v>552</v>
      </c>
      <c r="L1121" s="9">
        <v>2024</v>
      </c>
      <c r="M1121" s="8" t="s">
        <v>7167</v>
      </c>
      <c r="N1121" s="8" t="s">
        <v>41</v>
      </c>
      <c r="O1121" s="8" t="s">
        <v>514</v>
      </c>
      <c r="P1121" s="6" t="s">
        <v>70</v>
      </c>
      <c r="Q1121" s="8" t="s">
        <v>44</v>
      </c>
      <c r="R1121" s="10" t="s">
        <v>7168</v>
      </c>
      <c r="S1121" s="11" t="s">
        <v>7169</v>
      </c>
      <c r="T1121" s="6"/>
      <c r="U1121" s="28" t="str">
        <f>HYPERLINK("https://media.infra-m.ru/2146/2146901/cover/2146901.jpg", "Обложка")</f>
        <v>Обложка</v>
      </c>
      <c r="V1121" s="28" t="str">
        <f>HYPERLINK("https://znanium.ru/catalog/product/1893209", "Ознакомиться")</f>
        <v>Ознакомиться</v>
      </c>
      <c r="W1121" s="8" t="s">
        <v>7162</v>
      </c>
      <c r="X1121" s="6"/>
      <c r="Y1121" s="6" t="s">
        <v>30</v>
      </c>
      <c r="Z1121" s="6"/>
      <c r="AA1121" s="6" t="s">
        <v>213</v>
      </c>
    </row>
    <row r="1122" spans="1:27" s="4" customFormat="1" ht="51.95" customHeight="1">
      <c r="A1122" s="5">
        <v>0</v>
      </c>
      <c r="B1122" s="6" t="s">
        <v>7170</v>
      </c>
      <c r="C1122" s="7">
        <v>2397</v>
      </c>
      <c r="D1122" s="8" t="s">
        <v>7171</v>
      </c>
      <c r="E1122" s="8" t="s">
        <v>7172</v>
      </c>
      <c r="F1122" s="8" t="s">
        <v>7173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400</v>
      </c>
      <c r="L1122" s="9">
        <v>2024</v>
      </c>
      <c r="M1122" s="8" t="s">
        <v>7174</v>
      </c>
      <c r="N1122" s="8" t="s">
        <v>41</v>
      </c>
      <c r="O1122" s="8" t="s">
        <v>1222</v>
      </c>
      <c r="P1122" s="6" t="s">
        <v>70</v>
      </c>
      <c r="Q1122" s="8" t="s">
        <v>44</v>
      </c>
      <c r="R1122" s="10" t="s">
        <v>4068</v>
      </c>
      <c r="S1122" s="11" t="s">
        <v>7175</v>
      </c>
      <c r="T1122" s="6"/>
      <c r="U1122" s="28" t="str">
        <f>HYPERLINK("https://media.infra-m.ru/2102/2102698/cover/2102698.jpg", "Обложка")</f>
        <v>Обложка</v>
      </c>
      <c r="V1122" s="28" t="str">
        <f>HYPERLINK("https://znanium.ru/catalog/product/1190674", "Ознакомиться")</f>
        <v>Ознакомиться</v>
      </c>
      <c r="W1122" s="8" t="s">
        <v>3347</v>
      </c>
      <c r="X1122" s="6"/>
      <c r="Y1122" s="6"/>
      <c r="Z1122" s="6"/>
      <c r="AA1122" s="6" t="s">
        <v>1552</v>
      </c>
    </row>
    <row r="1123" spans="1:27" s="4" customFormat="1" ht="51.95" customHeight="1">
      <c r="A1123" s="5">
        <v>0</v>
      </c>
      <c r="B1123" s="6" t="s">
        <v>7176</v>
      </c>
      <c r="C1123" s="7">
        <v>1574</v>
      </c>
      <c r="D1123" s="8" t="s">
        <v>7177</v>
      </c>
      <c r="E1123" s="8" t="s">
        <v>7178</v>
      </c>
      <c r="F1123" s="8" t="s">
        <v>7179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336</v>
      </c>
      <c r="L1123" s="9">
        <v>2024</v>
      </c>
      <c r="M1123" s="8" t="s">
        <v>7180</v>
      </c>
      <c r="N1123" s="8" t="s">
        <v>41</v>
      </c>
      <c r="O1123" s="8" t="s">
        <v>42</v>
      </c>
      <c r="P1123" s="6" t="s">
        <v>43</v>
      </c>
      <c r="Q1123" s="8" t="s">
        <v>44</v>
      </c>
      <c r="R1123" s="10" t="s">
        <v>7181</v>
      </c>
      <c r="S1123" s="11" t="s">
        <v>4125</v>
      </c>
      <c r="T1123" s="6"/>
      <c r="U1123" s="28" t="str">
        <f>HYPERLINK("https://media.infra-m.ru/2104/2104836/cover/2104836.jpg", "Обложка")</f>
        <v>Обложка</v>
      </c>
      <c r="V1123" s="28" t="str">
        <f>HYPERLINK("https://znanium.ru/catalog/product/2104836", "Ознакомиться")</f>
        <v>Ознакомиться</v>
      </c>
      <c r="W1123" s="8" t="s">
        <v>726</v>
      </c>
      <c r="X1123" s="6"/>
      <c r="Y1123" s="6" t="s">
        <v>30</v>
      </c>
      <c r="Z1123" s="6"/>
      <c r="AA1123" s="6" t="s">
        <v>288</v>
      </c>
    </row>
    <row r="1124" spans="1:27" s="4" customFormat="1" ht="51.95" customHeight="1">
      <c r="A1124" s="5">
        <v>0</v>
      </c>
      <c r="B1124" s="6" t="s">
        <v>7182</v>
      </c>
      <c r="C1124" s="13">
        <v>760</v>
      </c>
      <c r="D1124" s="8" t="s">
        <v>7183</v>
      </c>
      <c r="E1124" s="8" t="s">
        <v>7184</v>
      </c>
      <c r="F1124" s="8" t="s">
        <v>7185</v>
      </c>
      <c r="G1124" s="6" t="s">
        <v>54</v>
      </c>
      <c r="H1124" s="6" t="s">
        <v>38</v>
      </c>
      <c r="I1124" s="8" t="s">
        <v>39</v>
      </c>
      <c r="J1124" s="9">
        <v>1</v>
      </c>
      <c r="K1124" s="9">
        <v>160</v>
      </c>
      <c r="L1124" s="9">
        <v>2024</v>
      </c>
      <c r="M1124" s="8" t="s">
        <v>7186</v>
      </c>
      <c r="N1124" s="8" t="s">
        <v>504</v>
      </c>
      <c r="O1124" s="8" t="s">
        <v>948</v>
      </c>
      <c r="P1124" s="6" t="s">
        <v>43</v>
      </c>
      <c r="Q1124" s="8" t="s">
        <v>44</v>
      </c>
      <c r="R1124" s="10" t="s">
        <v>7187</v>
      </c>
      <c r="S1124" s="11" t="s">
        <v>1691</v>
      </c>
      <c r="T1124" s="6"/>
      <c r="U1124" s="28" t="str">
        <f>HYPERLINK("https://media.infra-m.ru/2104/2104837/cover/2104837.jpg", "Обложка")</f>
        <v>Обложка</v>
      </c>
      <c r="V1124" s="28" t="str">
        <f>HYPERLINK("https://znanium.ru/catalog/product/2104837", "Ознакомиться")</f>
        <v>Ознакомиться</v>
      </c>
      <c r="W1124" s="8" t="s">
        <v>83</v>
      </c>
      <c r="X1124" s="6"/>
      <c r="Y1124" s="6" t="s">
        <v>30</v>
      </c>
      <c r="Z1124" s="6"/>
      <c r="AA1124" s="6" t="s">
        <v>237</v>
      </c>
    </row>
    <row r="1125" spans="1:27" s="4" customFormat="1" ht="51.95" customHeight="1">
      <c r="A1125" s="5">
        <v>0</v>
      </c>
      <c r="B1125" s="6" t="s">
        <v>7188</v>
      </c>
      <c r="C1125" s="7">
        <v>1204</v>
      </c>
      <c r="D1125" s="8" t="s">
        <v>7189</v>
      </c>
      <c r="E1125" s="8" t="s">
        <v>7184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256</v>
      </c>
      <c r="L1125" s="9">
        <v>2024</v>
      </c>
      <c r="M1125" s="8" t="s">
        <v>7191</v>
      </c>
      <c r="N1125" s="8" t="s">
        <v>504</v>
      </c>
      <c r="O1125" s="8" t="s">
        <v>948</v>
      </c>
      <c r="P1125" s="6" t="s">
        <v>70</v>
      </c>
      <c r="Q1125" s="8" t="s">
        <v>44</v>
      </c>
      <c r="R1125" s="10" t="s">
        <v>7192</v>
      </c>
      <c r="S1125" s="11" t="s">
        <v>7021</v>
      </c>
      <c r="T1125" s="6"/>
      <c r="U1125" s="28" t="str">
        <f>HYPERLINK("https://media.infra-m.ru/2136/2136797/cover/2136797.jpg", "Обложка")</f>
        <v>Обложка</v>
      </c>
      <c r="V1125" s="28" t="str">
        <f>HYPERLINK("https://znanium.ru/catalog/product/2084084", "Ознакомиться")</f>
        <v>Ознакомиться</v>
      </c>
      <c r="W1125" s="8" t="s">
        <v>253</v>
      </c>
      <c r="X1125" s="6"/>
      <c r="Y1125" s="6" t="s">
        <v>30</v>
      </c>
      <c r="Z1125" s="6"/>
      <c r="AA1125" s="6" t="s">
        <v>467</v>
      </c>
    </row>
    <row r="1126" spans="1:27" s="4" customFormat="1" ht="51.95" customHeight="1">
      <c r="A1126" s="5">
        <v>0</v>
      </c>
      <c r="B1126" s="6" t="s">
        <v>7193</v>
      </c>
      <c r="C1126" s="13">
        <v>780</v>
      </c>
      <c r="D1126" s="8" t="s">
        <v>7194</v>
      </c>
      <c r="E1126" s="8" t="s">
        <v>7195</v>
      </c>
      <c r="F1126" s="8" t="s">
        <v>7196</v>
      </c>
      <c r="G1126" s="6" t="s">
        <v>37</v>
      </c>
      <c r="H1126" s="6" t="s">
        <v>79</v>
      </c>
      <c r="I1126" s="8" t="s">
        <v>529</v>
      </c>
      <c r="J1126" s="9">
        <v>1</v>
      </c>
      <c r="K1126" s="9">
        <v>153</v>
      </c>
      <c r="L1126" s="9">
        <v>2024</v>
      </c>
      <c r="M1126" s="8" t="s">
        <v>7197</v>
      </c>
      <c r="N1126" s="8" t="s">
        <v>504</v>
      </c>
      <c r="O1126" s="8" t="s">
        <v>948</v>
      </c>
      <c r="P1126" s="6" t="s">
        <v>43</v>
      </c>
      <c r="Q1126" s="8" t="s">
        <v>44</v>
      </c>
      <c r="R1126" s="10" t="s">
        <v>7198</v>
      </c>
      <c r="S1126" s="11" t="s">
        <v>7199</v>
      </c>
      <c r="T1126" s="6"/>
      <c r="U1126" s="28" t="str">
        <f>HYPERLINK("https://media.infra-m.ru/2082/2082734/cover/2082734.jpg", "Обложка")</f>
        <v>Обложка</v>
      </c>
      <c r="V1126" s="28" t="str">
        <f>HYPERLINK("https://znanium.ru/catalog/product/2082734", "Ознакомиться")</f>
        <v>Ознакомиться</v>
      </c>
      <c r="W1126" s="8" t="s">
        <v>4198</v>
      </c>
      <c r="X1126" s="6" t="s">
        <v>635</v>
      </c>
      <c r="Y1126" s="6"/>
      <c r="Z1126" s="6"/>
      <c r="AA1126" s="6" t="s">
        <v>339</v>
      </c>
    </row>
    <row r="1127" spans="1:27" s="4" customFormat="1" ht="51.95" customHeight="1">
      <c r="A1127" s="5">
        <v>0</v>
      </c>
      <c r="B1127" s="6" t="s">
        <v>7200</v>
      </c>
      <c r="C1127" s="13">
        <v>680</v>
      </c>
      <c r="D1127" s="8" t="s">
        <v>7201</v>
      </c>
      <c r="E1127" s="8" t="s">
        <v>7202</v>
      </c>
      <c r="F1127" s="8" t="s">
        <v>7203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133</v>
      </c>
      <c r="L1127" s="9">
        <v>2024</v>
      </c>
      <c r="M1127" s="8" t="s">
        <v>7204</v>
      </c>
      <c r="N1127" s="8" t="s">
        <v>118</v>
      </c>
      <c r="O1127" s="8" t="s">
        <v>336</v>
      </c>
      <c r="P1127" s="6" t="s">
        <v>43</v>
      </c>
      <c r="Q1127" s="8" t="s">
        <v>44</v>
      </c>
      <c r="R1127" s="10" t="s">
        <v>91</v>
      </c>
      <c r="S1127" s="11" t="s">
        <v>7205</v>
      </c>
      <c r="T1127" s="6"/>
      <c r="U1127" s="28" t="str">
        <f>HYPERLINK("https://media.infra-m.ru/2125/2125930/cover/2125930.jpg", "Обложка")</f>
        <v>Обложка</v>
      </c>
      <c r="V1127" s="28" t="str">
        <f>HYPERLINK("https://znanium.ru/catalog/product/2125930", "Ознакомиться")</f>
        <v>Ознакомиться</v>
      </c>
      <c r="W1127" s="8" t="s">
        <v>431</v>
      </c>
      <c r="X1127" s="6"/>
      <c r="Y1127" s="6"/>
      <c r="Z1127" s="6"/>
      <c r="AA1127" s="6" t="s">
        <v>921</v>
      </c>
    </row>
    <row r="1128" spans="1:27" s="4" customFormat="1" ht="51.95" customHeight="1">
      <c r="A1128" s="5">
        <v>0</v>
      </c>
      <c r="B1128" s="6" t="s">
        <v>7206</v>
      </c>
      <c r="C1128" s="13">
        <v>694.9</v>
      </c>
      <c r="D1128" s="8" t="s">
        <v>7207</v>
      </c>
      <c r="E1128" s="8" t="s">
        <v>7208</v>
      </c>
      <c r="F1128" s="8" t="s">
        <v>7209</v>
      </c>
      <c r="G1128" s="6" t="s">
        <v>37</v>
      </c>
      <c r="H1128" s="6" t="s">
        <v>283</v>
      </c>
      <c r="I1128" s="8" t="s">
        <v>56</v>
      </c>
      <c r="J1128" s="9">
        <v>1</v>
      </c>
      <c r="K1128" s="9">
        <v>240</v>
      </c>
      <c r="L1128" s="9">
        <v>2018</v>
      </c>
      <c r="M1128" s="8" t="s">
        <v>7210</v>
      </c>
      <c r="N1128" s="8" t="s">
        <v>118</v>
      </c>
      <c r="O1128" s="8" t="s">
        <v>336</v>
      </c>
      <c r="P1128" s="6" t="s">
        <v>43</v>
      </c>
      <c r="Q1128" s="8" t="s">
        <v>44</v>
      </c>
      <c r="R1128" s="10" t="s">
        <v>91</v>
      </c>
      <c r="S1128" s="11" t="s">
        <v>7211</v>
      </c>
      <c r="T1128" s="6"/>
      <c r="U1128" s="28" t="str">
        <f>HYPERLINK("https://media.infra-m.ru/0937/0937327/cover/937327.jpg", "Обложка")</f>
        <v>Обложка</v>
      </c>
      <c r="V1128" s="28" t="str">
        <f>HYPERLINK("https://znanium.ru/catalog/product/2125930", "Ознакомиться")</f>
        <v>Ознакомиться</v>
      </c>
      <c r="W1128" s="8" t="s">
        <v>431</v>
      </c>
      <c r="X1128" s="6"/>
      <c r="Y1128" s="6"/>
      <c r="Z1128" s="6"/>
      <c r="AA1128" s="6" t="s">
        <v>4513</v>
      </c>
    </row>
    <row r="1129" spans="1:27" s="4" customFormat="1" ht="51.95" customHeight="1">
      <c r="A1129" s="5">
        <v>0</v>
      </c>
      <c r="B1129" s="6" t="s">
        <v>7212</v>
      </c>
      <c r="C1129" s="7">
        <v>1794.9</v>
      </c>
      <c r="D1129" s="8" t="s">
        <v>7213</v>
      </c>
      <c r="E1129" s="8" t="s">
        <v>7214</v>
      </c>
      <c r="F1129" s="8" t="s">
        <v>7215</v>
      </c>
      <c r="G1129" s="6" t="s">
        <v>66</v>
      </c>
      <c r="H1129" s="6" t="s">
        <v>283</v>
      </c>
      <c r="I1129" s="8" t="s">
        <v>39</v>
      </c>
      <c r="J1129" s="9">
        <v>1</v>
      </c>
      <c r="K1129" s="9">
        <v>399</v>
      </c>
      <c r="L1129" s="9">
        <v>2023</v>
      </c>
      <c r="M1129" s="8" t="s">
        <v>7216</v>
      </c>
      <c r="N1129" s="8" t="s">
        <v>118</v>
      </c>
      <c r="O1129" s="8" t="s">
        <v>336</v>
      </c>
      <c r="P1129" s="6" t="s">
        <v>70</v>
      </c>
      <c r="Q1129" s="8" t="s">
        <v>44</v>
      </c>
      <c r="R1129" s="10" t="s">
        <v>91</v>
      </c>
      <c r="S1129" s="11" t="s">
        <v>7217</v>
      </c>
      <c r="T1129" s="6"/>
      <c r="U1129" s="28" t="str">
        <f>HYPERLINK("https://media.infra-m.ru/1986/1986698/cover/1986698.jpg", "Обложка")</f>
        <v>Обложка</v>
      </c>
      <c r="V1129" s="28" t="str">
        <f>HYPERLINK("https://znanium.ru/catalog/product/1862398", "Ознакомиться")</f>
        <v>Ознакомиться</v>
      </c>
      <c r="W1129" s="8" t="s">
        <v>347</v>
      </c>
      <c r="X1129" s="6"/>
      <c r="Y1129" s="6"/>
      <c r="Z1129" s="6"/>
      <c r="AA1129" s="6" t="s">
        <v>711</v>
      </c>
    </row>
    <row r="1130" spans="1:27" s="4" customFormat="1" ht="51.95" customHeight="1">
      <c r="A1130" s="5">
        <v>0</v>
      </c>
      <c r="B1130" s="6" t="s">
        <v>7218</v>
      </c>
      <c r="C1130" s="7">
        <v>1280</v>
      </c>
      <c r="D1130" s="8" t="s">
        <v>7219</v>
      </c>
      <c r="E1130" s="8" t="s">
        <v>7220</v>
      </c>
      <c r="F1130" s="8" t="s">
        <v>7221</v>
      </c>
      <c r="G1130" s="6" t="s">
        <v>37</v>
      </c>
      <c r="H1130" s="6" t="s">
        <v>79</v>
      </c>
      <c r="I1130" s="8" t="s">
        <v>529</v>
      </c>
      <c r="J1130" s="9">
        <v>1</v>
      </c>
      <c r="K1130" s="9">
        <v>270</v>
      </c>
      <c r="L1130" s="9">
        <v>2024</v>
      </c>
      <c r="M1130" s="8" t="s">
        <v>7222</v>
      </c>
      <c r="N1130" s="8" t="s">
        <v>504</v>
      </c>
      <c r="O1130" s="8" t="s">
        <v>948</v>
      </c>
      <c r="P1130" s="6" t="s">
        <v>43</v>
      </c>
      <c r="Q1130" s="8" t="s">
        <v>44</v>
      </c>
      <c r="R1130" s="10" t="s">
        <v>7223</v>
      </c>
      <c r="S1130" s="11" t="s">
        <v>7224</v>
      </c>
      <c r="T1130" s="6"/>
      <c r="U1130" s="28" t="str">
        <f>HYPERLINK("https://media.infra-m.ru/2133/2133639/cover/2133639.jpg", "Обложка")</f>
        <v>Обложка</v>
      </c>
      <c r="V1130" s="28" t="str">
        <f>HYPERLINK("https://znanium.ru/catalog/product/2133639", "Ознакомиться")</f>
        <v>Ознакомиться</v>
      </c>
      <c r="W1130" s="8" t="s">
        <v>4198</v>
      </c>
      <c r="X1130" s="6" t="s">
        <v>664</v>
      </c>
      <c r="Y1130" s="6"/>
      <c r="Z1130" s="6"/>
      <c r="AA1130" s="6" t="s">
        <v>339</v>
      </c>
    </row>
    <row r="1131" spans="1:27" s="4" customFormat="1" ht="51.95" customHeight="1">
      <c r="A1131" s="5">
        <v>0</v>
      </c>
      <c r="B1131" s="6" t="s">
        <v>7225</v>
      </c>
      <c r="C1131" s="7">
        <v>1130</v>
      </c>
      <c r="D1131" s="8" t="s">
        <v>7226</v>
      </c>
      <c r="E1131" s="8" t="s">
        <v>7227</v>
      </c>
      <c r="F1131" s="8" t="s">
        <v>401</v>
      </c>
      <c r="G1131" s="6" t="s">
        <v>66</v>
      </c>
      <c r="H1131" s="6" t="s">
        <v>55</v>
      </c>
      <c r="I1131" s="8"/>
      <c r="J1131" s="9">
        <v>1</v>
      </c>
      <c r="K1131" s="9">
        <v>239</v>
      </c>
      <c r="L1131" s="9">
        <v>2024</v>
      </c>
      <c r="M1131" s="8" t="s">
        <v>7228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7229</v>
      </c>
      <c r="S1131" s="11"/>
      <c r="T1131" s="6"/>
      <c r="U1131" s="28" t="str">
        <f>HYPERLINK("https://media.infra-m.ru/2125/2125912/cover/2125912.jpg", "Обложка")</f>
        <v>Обложка</v>
      </c>
      <c r="V1131" s="28" t="str">
        <f>HYPERLINK("https://znanium.ru/catalog/product/1959239", "Ознакомиться")</f>
        <v>Ознакомиться</v>
      </c>
      <c r="W1131" s="8" t="s">
        <v>405</v>
      </c>
      <c r="X1131" s="6"/>
      <c r="Y1131" s="6" t="s">
        <v>30</v>
      </c>
      <c r="Z1131" s="6"/>
      <c r="AA1131" s="6" t="s">
        <v>122</v>
      </c>
    </row>
    <row r="1132" spans="1:27" s="4" customFormat="1" ht="51.95" customHeight="1">
      <c r="A1132" s="5">
        <v>0</v>
      </c>
      <c r="B1132" s="6" t="s">
        <v>7230</v>
      </c>
      <c r="C1132" s="7">
        <v>2194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38</v>
      </c>
      <c r="I1132" s="8" t="s">
        <v>39</v>
      </c>
      <c r="J1132" s="9">
        <v>1</v>
      </c>
      <c r="K1132" s="9">
        <v>544</v>
      </c>
      <c r="L1132" s="9">
        <v>2023</v>
      </c>
      <c r="M1132" s="8" t="s">
        <v>7234</v>
      </c>
      <c r="N1132" s="8" t="s">
        <v>118</v>
      </c>
      <c r="O1132" s="8" t="s">
        <v>403</v>
      </c>
      <c r="P1132" s="6" t="s">
        <v>70</v>
      </c>
      <c r="Q1132" s="8" t="s">
        <v>44</v>
      </c>
      <c r="R1132" s="10" t="s">
        <v>677</v>
      </c>
      <c r="S1132" s="11" t="s">
        <v>7235</v>
      </c>
      <c r="T1132" s="6"/>
      <c r="U1132" s="28" t="str">
        <f>HYPERLINK("https://media.infra-m.ru/2002/2002597/cover/2002597.jpg", "Обложка")</f>
        <v>Обложка</v>
      </c>
      <c r="V1132" s="28" t="str">
        <f>HYPERLINK("https://znanium.ru/catalog/product/1141793", "Ознакомиться")</f>
        <v>Ознакомиться</v>
      </c>
      <c r="W1132" s="8" t="s">
        <v>7236</v>
      </c>
      <c r="X1132" s="6"/>
      <c r="Y1132" s="6"/>
      <c r="Z1132" s="6"/>
      <c r="AA1132" s="6" t="s">
        <v>671</v>
      </c>
    </row>
    <row r="1133" spans="1:27" s="4" customFormat="1" ht="51.95" customHeight="1">
      <c r="A1133" s="5">
        <v>0</v>
      </c>
      <c r="B1133" s="6" t="s">
        <v>7237</v>
      </c>
      <c r="C1133" s="13">
        <v>900</v>
      </c>
      <c r="D1133" s="8" t="s">
        <v>7238</v>
      </c>
      <c r="E1133" s="8" t="s">
        <v>7239</v>
      </c>
      <c r="F1133" s="8" t="s">
        <v>7240</v>
      </c>
      <c r="G1133" s="6" t="s">
        <v>66</v>
      </c>
      <c r="H1133" s="6" t="s">
        <v>38</v>
      </c>
      <c r="I1133" s="8" t="s">
        <v>39</v>
      </c>
      <c r="J1133" s="9">
        <v>1</v>
      </c>
      <c r="K1133" s="9">
        <v>200</v>
      </c>
      <c r="L1133" s="9">
        <v>2023</v>
      </c>
      <c r="M1133" s="8" t="s">
        <v>7241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445</v>
      </c>
      <c r="S1133" s="11" t="s">
        <v>7235</v>
      </c>
      <c r="T1133" s="6"/>
      <c r="U1133" s="28" t="str">
        <f>HYPERLINK("https://media.infra-m.ru/1931/1931475/cover/1931475.jpg", "Обложка")</f>
        <v>Обложка</v>
      </c>
      <c r="V1133" s="28" t="str">
        <f>HYPERLINK("https://znanium.ru/catalog/product/1931475", "Ознакомиться")</f>
        <v>Ознакомиться</v>
      </c>
      <c r="W1133" s="8" t="s">
        <v>7236</v>
      </c>
      <c r="X1133" s="6"/>
      <c r="Y1133" s="6"/>
      <c r="Z1133" s="6"/>
      <c r="AA1133" s="6" t="s">
        <v>671</v>
      </c>
    </row>
    <row r="1134" spans="1:27" s="4" customFormat="1" ht="51.95" customHeight="1">
      <c r="A1134" s="5">
        <v>0</v>
      </c>
      <c r="B1134" s="6" t="s">
        <v>7242</v>
      </c>
      <c r="C1134" s="13">
        <v>830</v>
      </c>
      <c r="D1134" s="8" t="s">
        <v>7243</v>
      </c>
      <c r="E1134" s="8" t="s">
        <v>7244</v>
      </c>
      <c r="F1134" s="8" t="s">
        <v>7245</v>
      </c>
      <c r="G1134" s="6" t="s">
        <v>37</v>
      </c>
      <c r="H1134" s="6" t="s">
        <v>79</v>
      </c>
      <c r="I1134" s="8" t="s">
        <v>39</v>
      </c>
      <c r="J1134" s="9">
        <v>1</v>
      </c>
      <c r="K1134" s="9">
        <v>221</v>
      </c>
      <c r="L1134" s="9">
        <v>2021</v>
      </c>
      <c r="M1134" s="8" t="s">
        <v>7246</v>
      </c>
      <c r="N1134" s="8" t="s">
        <v>41</v>
      </c>
      <c r="O1134" s="8" t="s">
        <v>160</v>
      </c>
      <c r="P1134" s="6" t="s">
        <v>43</v>
      </c>
      <c r="Q1134" s="8" t="s">
        <v>44</v>
      </c>
      <c r="R1134" s="10" t="s">
        <v>7247</v>
      </c>
      <c r="S1134" s="11" t="s">
        <v>7248</v>
      </c>
      <c r="T1134" s="6"/>
      <c r="U1134" s="28" t="str">
        <f>HYPERLINK("https://media.infra-m.ru/1058/1058945/cover/1058945.jpg", "Обложка")</f>
        <v>Обложка</v>
      </c>
      <c r="V1134" s="28" t="str">
        <f>HYPERLINK("https://znanium.ru/catalog/product/1058945", "Ознакомиться")</f>
        <v>Ознакомиться</v>
      </c>
      <c r="W1134" s="8"/>
      <c r="X1134" s="6"/>
      <c r="Y1134" s="6"/>
      <c r="Z1134" s="6"/>
      <c r="AA1134" s="6" t="s">
        <v>893</v>
      </c>
    </row>
    <row r="1135" spans="1:27" s="4" customFormat="1" ht="51.95" customHeight="1">
      <c r="A1135" s="5">
        <v>0</v>
      </c>
      <c r="B1135" s="6" t="s">
        <v>7249</v>
      </c>
      <c r="C1135" s="13">
        <v>850</v>
      </c>
      <c r="D1135" s="8" t="s">
        <v>7250</v>
      </c>
      <c r="E1135" s="8" t="s">
        <v>7251</v>
      </c>
      <c r="F1135" s="8" t="s">
        <v>7252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180</v>
      </c>
      <c r="L1135" s="9">
        <v>2024</v>
      </c>
      <c r="M1135" s="8" t="s">
        <v>7253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1635</v>
      </c>
      <c r="S1135" s="11" t="s">
        <v>7254</v>
      </c>
      <c r="T1135" s="6"/>
      <c r="U1135" s="28" t="str">
        <f>HYPERLINK("https://media.infra-m.ru/2139/2139211/cover/2139211.jpg", "Обложка")</f>
        <v>Обложка</v>
      </c>
      <c r="V1135" s="28" t="str">
        <f>HYPERLINK("https://znanium.ru/catalog/product/2139211", "Ознакомиться")</f>
        <v>Ознакомиться</v>
      </c>
      <c r="W1135" s="8" t="s">
        <v>46</v>
      </c>
      <c r="X1135" s="6"/>
      <c r="Y1135" s="6"/>
      <c r="Z1135" s="6"/>
      <c r="AA1135" s="6" t="s">
        <v>314</v>
      </c>
    </row>
    <row r="1136" spans="1:27" s="4" customFormat="1" ht="51.95" customHeight="1">
      <c r="A1136" s="5">
        <v>0</v>
      </c>
      <c r="B1136" s="6" t="s">
        <v>7255</v>
      </c>
      <c r="C1136" s="7">
        <v>1174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866</v>
      </c>
      <c r="I1136" s="8" t="s">
        <v>867</v>
      </c>
      <c r="J1136" s="9">
        <v>1</v>
      </c>
      <c r="K1136" s="9">
        <v>256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7260</v>
      </c>
      <c r="S1136" s="11" t="s">
        <v>7261</v>
      </c>
      <c r="T1136" s="6"/>
      <c r="U1136" s="28" t="str">
        <f>HYPERLINK("https://media.infra-m.ru/2049/2049675/cover/2049675.jpg", "Обложка")</f>
        <v>Обложка</v>
      </c>
      <c r="V1136" s="28" t="str">
        <f>HYPERLINK("https://znanium.ru/catalog/product/1902024", "Ознакомиться")</f>
        <v>Ознакомиться</v>
      </c>
      <c r="W1136" s="8" t="s">
        <v>83</v>
      </c>
      <c r="X1136" s="6"/>
      <c r="Y1136" s="6" t="s">
        <v>30</v>
      </c>
      <c r="Z1136" s="6"/>
      <c r="AA1136" s="6" t="s">
        <v>4306</v>
      </c>
    </row>
    <row r="1137" spans="1:27" s="4" customFormat="1" ht="51.95" customHeight="1">
      <c r="A1137" s="5">
        <v>0</v>
      </c>
      <c r="B1137" s="6" t="s">
        <v>7262</v>
      </c>
      <c r="C1137" s="13">
        <v>870</v>
      </c>
      <c r="D1137" s="8" t="s">
        <v>7263</v>
      </c>
      <c r="E1137" s="8" t="s">
        <v>7264</v>
      </c>
      <c r="F1137" s="8" t="s">
        <v>401</v>
      </c>
      <c r="G1137" s="6" t="s">
        <v>66</v>
      </c>
      <c r="H1137" s="6" t="s">
        <v>55</v>
      </c>
      <c r="I1137" s="8" t="s">
        <v>56</v>
      </c>
      <c r="J1137" s="9">
        <v>1</v>
      </c>
      <c r="K1137" s="9">
        <v>180</v>
      </c>
      <c r="L1137" s="9">
        <v>2024</v>
      </c>
      <c r="M1137" s="8" t="s">
        <v>7265</v>
      </c>
      <c r="N1137" s="8" t="s">
        <v>118</v>
      </c>
      <c r="O1137" s="8" t="s">
        <v>403</v>
      </c>
      <c r="P1137" s="6" t="s">
        <v>43</v>
      </c>
      <c r="Q1137" s="8" t="s">
        <v>44</v>
      </c>
      <c r="R1137" s="10" t="s">
        <v>7266</v>
      </c>
      <c r="S1137" s="11"/>
      <c r="T1137" s="6"/>
      <c r="U1137" s="28" t="str">
        <f>HYPERLINK("https://media.infra-m.ru/2132/2132243/cover/2132243.jpg", "Обложка")</f>
        <v>Обложка</v>
      </c>
      <c r="V1137" s="28" t="str">
        <f>HYPERLINK("https://znanium.ru/catalog/product/2132243", "Ознакомиться")</f>
        <v>Ознакомиться</v>
      </c>
      <c r="W1137" s="8" t="s">
        <v>405</v>
      </c>
      <c r="X1137" s="6"/>
      <c r="Y1137" s="6" t="s">
        <v>30</v>
      </c>
      <c r="Z1137" s="6"/>
      <c r="AA1137" s="6" t="s">
        <v>656</v>
      </c>
    </row>
    <row r="1138" spans="1:27" s="4" customFormat="1" ht="51.95" customHeight="1">
      <c r="A1138" s="5">
        <v>0</v>
      </c>
      <c r="B1138" s="6" t="s">
        <v>7267</v>
      </c>
      <c r="C1138" s="7">
        <v>1580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283</v>
      </c>
      <c r="I1138" s="8" t="s">
        <v>39</v>
      </c>
      <c r="J1138" s="9">
        <v>1</v>
      </c>
      <c r="K1138" s="9">
        <v>335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70</v>
      </c>
      <c r="Q1138" s="8" t="s">
        <v>44</v>
      </c>
      <c r="R1138" s="10" t="s">
        <v>7272</v>
      </c>
      <c r="S1138" s="11" t="s">
        <v>7273</v>
      </c>
      <c r="T1138" s="6"/>
      <c r="U1138" s="28" t="str">
        <f>HYPERLINK("https://media.infra-m.ru/2104/2104838/cover/2104838.jpg", "Обложка")</f>
        <v>Обложка</v>
      </c>
      <c r="V1138" s="28" t="str">
        <f>HYPERLINK("https://znanium.ru/catalog/product/2104838", "Ознакомиться")</f>
        <v>Ознакомиться</v>
      </c>
      <c r="W1138" s="8" t="s">
        <v>431</v>
      </c>
      <c r="X1138" s="6"/>
      <c r="Y1138" s="6" t="s">
        <v>30</v>
      </c>
      <c r="Z1138" s="6"/>
      <c r="AA1138" s="6" t="s">
        <v>254</v>
      </c>
    </row>
    <row r="1139" spans="1:27" s="4" customFormat="1" ht="51.95" customHeight="1">
      <c r="A1139" s="5">
        <v>0</v>
      </c>
      <c r="B1139" s="6" t="s">
        <v>7274</v>
      </c>
      <c r="C1139" s="7">
        <v>1360</v>
      </c>
      <c r="D1139" s="8" t="s">
        <v>7275</v>
      </c>
      <c r="E1139" s="8" t="s">
        <v>7276</v>
      </c>
      <c r="F1139" s="8" t="s">
        <v>4885</v>
      </c>
      <c r="G1139" s="6" t="s">
        <v>66</v>
      </c>
      <c r="H1139" s="6" t="s">
        <v>283</v>
      </c>
      <c r="I1139" s="8" t="s">
        <v>39</v>
      </c>
      <c r="J1139" s="9">
        <v>1</v>
      </c>
      <c r="K1139" s="9">
        <v>288</v>
      </c>
      <c r="L1139" s="9">
        <v>2024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HYPERLINK("https://media.infra-m.ru/2140/2140290/cover/2140290.jpg", "Обложка")</f>
        <v>Обложка</v>
      </c>
      <c r="V1139" s="28" t="str">
        <f>HYPERLINK("https://znanium.ru/catalog/product/2140290", "Ознакомиться")</f>
        <v>Ознакомиться</v>
      </c>
      <c r="W1139" s="8" t="s">
        <v>287</v>
      </c>
      <c r="X1139" s="6"/>
      <c r="Y1139" s="6"/>
      <c r="Z1139" s="6"/>
      <c r="AA1139" s="6" t="s">
        <v>872</v>
      </c>
    </row>
    <row r="1140" spans="1:27" s="4" customFormat="1" ht="51.95" customHeight="1">
      <c r="A1140" s="5">
        <v>0</v>
      </c>
      <c r="B1140" s="6" t="s">
        <v>7280</v>
      </c>
      <c r="C1140" s="7">
        <v>1414</v>
      </c>
      <c r="D1140" s="8" t="s">
        <v>7281</v>
      </c>
      <c r="E1140" s="8" t="s">
        <v>7282</v>
      </c>
      <c r="F1140" s="8" t="s">
        <v>7283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300</v>
      </c>
      <c r="L1140" s="9">
        <v>2024</v>
      </c>
      <c r="M1140" s="8" t="s">
        <v>7284</v>
      </c>
      <c r="N1140" s="8" t="s">
        <v>118</v>
      </c>
      <c r="O1140" s="8" t="s">
        <v>403</v>
      </c>
      <c r="P1140" s="6" t="s">
        <v>70</v>
      </c>
      <c r="Q1140" s="8" t="s">
        <v>44</v>
      </c>
      <c r="R1140" s="10" t="s">
        <v>7285</v>
      </c>
      <c r="S1140" s="11" t="s">
        <v>7286</v>
      </c>
      <c r="T1140" s="6"/>
      <c r="U1140" s="28" t="str">
        <f>HYPERLINK("https://media.infra-m.ru/2138/2138061/cover/2138061.jpg", "Обложка")</f>
        <v>Обложка</v>
      </c>
      <c r="V1140" s="28" t="str">
        <f>HYPERLINK("https://znanium.ru/catalog/product/1788466", "Ознакомиться")</f>
        <v>Ознакомиться</v>
      </c>
      <c r="W1140" s="8" t="s">
        <v>3460</v>
      </c>
      <c r="X1140" s="6"/>
      <c r="Y1140" s="6"/>
      <c r="Z1140" s="6"/>
      <c r="AA1140" s="6" t="s">
        <v>482</v>
      </c>
    </row>
    <row r="1141" spans="1:27" s="4" customFormat="1" ht="51.95" customHeight="1">
      <c r="A1141" s="5">
        <v>0</v>
      </c>
      <c r="B1141" s="6" t="s">
        <v>7287</v>
      </c>
      <c r="C1141" s="7">
        <v>1494</v>
      </c>
      <c r="D1141" s="8" t="s">
        <v>7288</v>
      </c>
      <c r="E1141" s="8" t="s">
        <v>7289</v>
      </c>
      <c r="F1141" s="8" t="s">
        <v>7290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318</v>
      </c>
      <c r="L1141" s="9">
        <v>2024</v>
      </c>
      <c r="M1141" s="8" t="s">
        <v>7291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905</v>
      </c>
      <c r="S1141" s="11" t="s">
        <v>2065</v>
      </c>
      <c r="T1141" s="6"/>
      <c r="U1141" s="28" t="str">
        <f>HYPERLINK("https://media.infra-m.ru/2030/2030902/cover/2030902.jpg", "Обложка")</f>
        <v>Обложка</v>
      </c>
      <c r="V1141" s="28" t="str">
        <f>HYPERLINK("https://znanium.ru/catalog/product/1240097", "Ознакомиться")</f>
        <v>Ознакомиться</v>
      </c>
      <c r="W1141" s="8" t="s">
        <v>1371</v>
      </c>
      <c r="X1141" s="6"/>
      <c r="Y1141" s="6"/>
      <c r="Z1141" s="6" t="s">
        <v>48</v>
      </c>
      <c r="AA1141" s="6" t="s">
        <v>94</v>
      </c>
    </row>
    <row r="1142" spans="1:27" s="4" customFormat="1" ht="51.95" customHeight="1">
      <c r="A1142" s="5">
        <v>0</v>
      </c>
      <c r="B1142" s="6" t="s">
        <v>7292</v>
      </c>
      <c r="C1142" s="13">
        <v>684</v>
      </c>
      <c r="D1142" s="8" t="s">
        <v>7293</v>
      </c>
      <c r="E1142" s="8" t="s">
        <v>7294</v>
      </c>
      <c r="F1142" s="8" t="s">
        <v>7295</v>
      </c>
      <c r="G1142" s="6" t="s">
        <v>66</v>
      </c>
      <c r="H1142" s="6" t="s">
        <v>79</v>
      </c>
      <c r="I1142" s="8" t="s">
        <v>39</v>
      </c>
      <c r="J1142" s="9">
        <v>1</v>
      </c>
      <c r="K1142" s="9">
        <v>145</v>
      </c>
      <c r="L1142" s="9">
        <v>2024</v>
      </c>
      <c r="M1142" s="8" t="s">
        <v>7296</v>
      </c>
      <c r="N1142" s="8" t="s">
        <v>118</v>
      </c>
      <c r="O1142" s="8" t="s">
        <v>403</v>
      </c>
      <c r="P1142" s="6" t="s">
        <v>43</v>
      </c>
      <c r="Q1142" s="8" t="s">
        <v>44</v>
      </c>
      <c r="R1142" s="10" t="s">
        <v>7297</v>
      </c>
      <c r="S1142" s="11" t="s">
        <v>7298</v>
      </c>
      <c r="T1142" s="6"/>
      <c r="U1142" s="28" t="str">
        <f>HYPERLINK("https://media.infra-m.ru/2050/2050520/cover/2050520.jpg", "Обложка")</f>
        <v>Обложка</v>
      </c>
      <c r="V1142" s="28" t="str">
        <f>HYPERLINK("https://znanium.ru/catalog/product/1911503", "Ознакомиться")</f>
        <v>Ознакомиться</v>
      </c>
      <c r="W1142" s="8" t="s">
        <v>1175</v>
      </c>
      <c r="X1142" s="6"/>
      <c r="Y1142" s="6"/>
      <c r="Z1142" s="6" t="s">
        <v>687</v>
      </c>
      <c r="AA1142" s="6" t="s">
        <v>656</v>
      </c>
    </row>
    <row r="1143" spans="1:27" s="4" customFormat="1" ht="51.95" customHeight="1">
      <c r="A1143" s="5">
        <v>0</v>
      </c>
      <c r="B1143" s="6" t="s">
        <v>7299</v>
      </c>
      <c r="C1143" s="7">
        <v>1294.9000000000001</v>
      </c>
      <c r="D1143" s="8" t="s">
        <v>7300</v>
      </c>
      <c r="E1143" s="8" t="s">
        <v>7301</v>
      </c>
      <c r="F1143" s="8" t="s">
        <v>7302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2023</v>
      </c>
      <c r="M1143" s="8" t="s">
        <v>7303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6404</v>
      </c>
      <c r="S1143" s="11" t="s">
        <v>7304</v>
      </c>
      <c r="T1143" s="6"/>
      <c r="U1143" s="28" t="str">
        <f>HYPERLINK("https://media.infra-m.ru/1894/1894658/cover/1894658.jpg", "Обложка")</f>
        <v>Обложка</v>
      </c>
      <c r="V1143" s="28" t="str">
        <f>HYPERLINK("https://znanium.ru/catalog/product/1894658", "Ознакомиться")</f>
        <v>Ознакомиться</v>
      </c>
      <c r="W1143" s="8" t="s">
        <v>277</v>
      </c>
      <c r="X1143" s="6"/>
      <c r="Y1143" s="6"/>
      <c r="Z1143" s="6"/>
      <c r="AA1143" s="6" t="s">
        <v>245</v>
      </c>
    </row>
    <row r="1144" spans="1:27" s="4" customFormat="1" ht="51.95" customHeight="1">
      <c r="A1144" s="5">
        <v>0</v>
      </c>
      <c r="B1144" s="6" t="s">
        <v>7305</v>
      </c>
      <c r="C1144" s="7">
        <v>1074</v>
      </c>
      <c r="D1144" s="8" t="s">
        <v>7306</v>
      </c>
      <c r="E1144" s="8" t="s">
        <v>7307</v>
      </c>
      <c r="F1144" s="8" t="s">
        <v>7308</v>
      </c>
      <c r="G1144" s="6" t="s">
        <v>54</v>
      </c>
      <c r="H1144" s="6" t="s">
        <v>38</v>
      </c>
      <c r="I1144" s="8" t="s">
        <v>56</v>
      </c>
      <c r="J1144" s="9">
        <v>1</v>
      </c>
      <c r="K1144" s="9">
        <v>232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43</v>
      </c>
      <c r="Q1144" s="8" t="s">
        <v>44</v>
      </c>
      <c r="R1144" s="10" t="s">
        <v>465</v>
      </c>
      <c r="S1144" s="11" t="s">
        <v>973</v>
      </c>
      <c r="T1144" s="6"/>
      <c r="U1144" s="28" t="str">
        <f>HYPERLINK("https://media.infra-m.ru/2040/2040001/cover/2040001.jpg", "Обложка")</f>
        <v>Обложка</v>
      </c>
      <c r="V1144" s="28" t="str">
        <f>HYPERLINK("https://znanium.ru/catalog/product/1287439", "Ознакомиться")</f>
        <v>Ознакомиться</v>
      </c>
      <c r="W1144" s="8" t="s">
        <v>102</v>
      </c>
      <c r="X1144" s="6"/>
      <c r="Y1144" s="6"/>
      <c r="Z1144" s="6"/>
      <c r="AA1144" s="6" t="s">
        <v>164</v>
      </c>
    </row>
    <row r="1145" spans="1:27" s="4" customFormat="1" ht="51.95" customHeight="1">
      <c r="A1145" s="5">
        <v>0</v>
      </c>
      <c r="B1145" s="6" t="s">
        <v>7310</v>
      </c>
      <c r="C1145" s="13">
        <v>834</v>
      </c>
      <c r="D1145" s="8" t="s">
        <v>7311</v>
      </c>
      <c r="E1145" s="8" t="s">
        <v>7312</v>
      </c>
      <c r="F1145" s="8" t="s">
        <v>7313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182</v>
      </c>
      <c r="L1145" s="9">
        <v>2024</v>
      </c>
      <c r="M1145" s="8" t="s">
        <v>7314</v>
      </c>
      <c r="N1145" s="8" t="s">
        <v>118</v>
      </c>
      <c r="O1145" s="8" t="s">
        <v>119</v>
      </c>
      <c r="P1145" s="6" t="s">
        <v>70</v>
      </c>
      <c r="Q1145" s="8" t="s">
        <v>44</v>
      </c>
      <c r="R1145" s="10" t="s">
        <v>4334</v>
      </c>
      <c r="S1145" s="11" t="s">
        <v>7315</v>
      </c>
      <c r="T1145" s="6"/>
      <c r="U1145" s="28" t="str">
        <f>HYPERLINK("https://media.infra-m.ru/2118/2118174/cover/2118174.jpg", "Обложка")</f>
        <v>Обложка</v>
      </c>
      <c r="V1145" s="28" t="str">
        <f>HYPERLINK("https://znanium.ru/catalog/product/1343176", "Ознакомиться")</f>
        <v>Ознакомиться</v>
      </c>
      <c r="W1145" s="8" t="s">
        <v>60</v>
      </c>
      <c r="X1145" s="6"/>
      <c r="Y1145" s="6"/>
      <c r="Z1145" s="6" t="s">
        <v>687</v>
      </c>
      <c r="AA1145" s="6" t="s">
        <v>213</v>
      </c>
    </row>
    <row r="1146" spans="1:27" s="4" customFormat="1" ht="51.95" customHeight="1">
      <c r="A1146" s="5">
        <v>0</v>
      </c>
      <c r="B1146" s="6" t="s">
        <v>7316</v>
      </c>
      <c r="C1146" s="13">
        <v>890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196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429</v>
      </c>
      <c r="S1146" s="11" t="s">
        <v>7321</v>
      </c>
      <c r="T1146" s="6"/>
      <c r="U1146" s="28" t="str">
        <f>HYPERLINK("https://media.infra-m.ru/1911/1911500/cover/1911500.jpg", "Обложка")</f>
        <v>Обложка</v>
      </c>
      <c r="V1146" s="28" t="str">
        <f>HYPERLINK("https://znanium.ru/catalog/product/1911500", "Ознакомиться")</f>
        <v>Ознакомиться</v>
      </c>
      <c r="W1146" s="8" t="s">
        <v>7054</v>
      </c>
      <c r="X1146" s="6"/>
      <c r="Y1146" s="6"/>
      <c r="Z1146" s="6" t="s">
        <v>48</v>
      </c>
      <c r="AA1146" s="6" t="s">
        <v>848</v>
      </c>
    </row>
    <row r="1147" spans="1:27" s="4" customFormat="1" ht="51.95" customHeight="1">
      <c r="A1147" s="5">
        <v>0</v>
      </c>
      <c r="B1147" s="6" t="s">
        <v>7322</v>
      </c>
      <c r="C1147" s="13">
        <v>790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176</v>
      </c>
      <c r="L1147" s="9">
        <v>2023</v>
      </c>
      <c r="M1147" s="8" t="s">
        <v>7326</v>
      </c>
      <c r="N1147" s="8" t="s">
        <v>118</v>
      </c>
      <c r="O1147" s="8" t="s">
        <v>403</v>
      </c>
      <c r="P1147" s="6" t="s">
        <v>1928</v>
      </c>
      <c r="Q1147" s="8" t="s">
        <v>44</v>
      </c>
      <c r="R1147" s="10" t="s">
        <v>429</v>
      </c>
      <c r="S1147" s="11" t="s">
        <v>7327</v>
      </c>
      <c r="T1147" s="6"/>
      <c r="U1147" s="28" t="str">
        <f>HYPERLINK("https://media.infra-m.ru/2022/2022259/cover/2022259.jpg", "Обложка")</f>
        <v>Обложка</v>
      </c>
      <c r="V1147" s="28" t="str">
        <f>HYPERLINK("https://znanium.ru/catalog/product/2022259", "Ознакомиться")</f>
        <v>Ознакомиться</v>
      </c>
      <c r="W1147" s="8" t="s">
        <v>4782</v>
      </c>
      <c r="X1147" s="6"/>
      <c r="Y1147" s="6"/>
      <c r="Z1147" s="6"/>
      <c r="AA1147" s="6" t="s">
        <v>7328</v>
      </c>
    </row>
    <row r="1148" spans="1:27" s="4" customFormat="1" ht="51.95" customHeight="1">
      <c r="A1148" s="5">
        <v>0</v>
      </c>
      <c r="B1148" s="6" t="s">
        <v>7329</v>
      </c>
      <c r="C1148" s="7">
        <v>1694</v>
      </c>
      <c r="D1148" s="8" t="s">
        <v>7330</v>
      </c>
      <c r="E1148" s="8" t="s">
        <v>7331</v>
      </c>
      <c r="F1148" s="8" t="s">
        <v>4779</v>
      </c>
      <c r="G1148" s="6" t="s">
        <v>37</v>
      </c>
      <c r="H1148" s="6" t="s">
        <v>38</v>
      </c>
      <c r="I1148" s="8" t="s">
        <v>56</v>
      </c>
      <c r="J1148" s="9">
        <v>1</v>
      </c>
      <c r="K1148" s="9">
        <v>368</v>
      </c>
      <c r="L1148" s="9">
        <v>2024</v>
      </c>
      <c r="M1148" s="8" t="s">
        <v>7332</v>
      </c>
      <c r="N1148" s="8" t="s">
        <v>118</v>
      </c>
      <c r="O1148" s="8" t="s">
        <v>403</v>
      </c>
      <c r="P1148" s="6" t="s">
        <v>70</v>
      </c>
      <c r="Q1148" s="8" t="s">
        <v>44</v>
      </c>
      <c r="R1148" s="10" t="s">
        <v>429</v>
      </c>
      <c r="S1148" s="11" t="s">
        <v>854</v>
      </c>
      <c r="T1148" s="6"/>
      <c r="U1148" s="28" t="str">
        <f>HYPERLINK("https://media.infra-m.ru/2053/2053248/cover/2053248.jpg", "Обложка")</f>
        <v>Обложка</v>
      </c>
      <c r="V1148" s="12"/>
      <c r="W1148" s="8" t="s">
        <v>4782</v>
      </c>
      <c r="X1148" s="6"/>
      <c r="Y1148" s="6"/>
      <c r="Z1148" s="6"/>
      <c r="AA1148" s="6" t="s">
        <v>7333</v>
      </c>
    </row>
    <row r="1149" spans="1:27" s="4" customFormat="1" ht="51.95" customHeight="1">
      <c r="A1149" s="5">
        <v>0</v>
      </c>
      <c r="B1149" s="6" t="s">
        <v>7334</v>
      </c>
      <c r="C1149" s="7">
        <v>1790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283</v>
      </c>
      <c r="I1149" s="8" t="s">
        <v>39</v>
      </c>
      <c r="J1149" s="9">
        <v>1</v>
      </c>
      <c r="K1149" s="9">
        <v>399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677</v>
      </c>
      <c r="S1149" s="11" t="s">
        <v>7339</v>
      </c>
      <c r="T1149" s="6"/>
      <c r="U1149" s="28" t="str">
        <f>HYPERLINK("https://media.infra-m.ru/1959/1959240/cover/1959240.jpg", "Обложка")</f>
        <v>Обложка</v>
      </c>
      <c r="V1149" s="28" t="str">
        <f>HYPERLINK("https://znanium.ru/catalog/product/1959240", "Ознакомиться")</f>
        <v>Ознакомиться</v>
      </c>
      <c r="W1149" s="8"/>
      <c r="X1149" s="6"/>
      <c r="Y1149" s="6"/>
      <c r="Z1149" s="6"/>
      <c r="AA1149" s="6" t="s">
        <v>221</v>
      </c>
    </row>
    <row r="1150" spans="1:27" s="4" customFormat="1" ht="51.95" customHeight="1">
      <c r="A1150" s="5">
        <v>0</v>
      </c>
      <c r="B1150" s="6" t="s">
        <v>7340</v>
      </c>
      <c r="C1150" s="13">
        <v>794</v>
      </c>
      <c r="D1150" s="8" t="s">
        <v>7341</v>
      </c>
      <c r="E1150" s="8" t="s">
        <v>7342</v>
      </c>
      <c r="F1150" s="8" t="s">
        <v>7343</v>
      </c>
      <c r="G1150" s="6" t="s">
        <v>66</v>
      </c>
      <c r="H1150" s="6" t="s">
        <v>79</v>
      </c>
      <c r="I1150" s="8" t="s">
        <v>39</v>
      </c>
      <c r="J1150" s="9">
        <v>1</v>
      </c>
      <c r="K1150" s="9">
        <v>172</v>
      </c>
      <c r="L1150" s="9">
        <v>2024</v>
      </c>
      <c r="M1150" s="8" t="s">
        <v>7344</v>
      </c>
      <c r="N1150" s="8" t="s">
        <v>118</v>
      </c>
      <c r="O1150" s="8" t="s">
        <v>403</v>
      </c>
      <c r="P1150" s="6" t="s">
        <v>43</v>
      </c>
      <c r="Q1150" s="8" t="s">
        <v>44</v>
      </c>
      <c r="R1150" s="10" t="s">
        <v>7345</v>
      </c>
      <c r="S1150" s="11" t="s">
        <v>3493</v>
      </c>
      <c r="T1150" s="6"/>
      <c r="U1150" s="28" t="str">
        <f>HYPERLINK("https://media.infra-m.ru/2100/2100959/cover/2100959.jpg", "Обложка")</f>
        <v>Обложка</v>
      </c>
      <c r="V1150" s="28" t="str">
        <f>HYPERLINK("https://znanium.ru/catalog/product/2080756", "Ознакомиться")</f>
        <v>Ознакомиться</v>
      </c>
      <c r="W1150" s="8" t="s">
        <v>83</v>
      </c>
      <c r="X1150" s="6"/>
      <c r="Y1150" s="6"/>
      <c r="Z1150" s="6" t="s">
        <v>48</v>
      </c>
      <c r="AA1150" s="6" t="s">
        <v>656</v>
      </c>
    </row>
    <row r="1151" spans="1:27" s="4" customFormat="1" ht="51.95" customHeight="1">
      <c r="A1151" s="5">
        <v>0</v>
      </c>
      <c r="B1151" s="6" t="s">
        <v>7346</v>
      </c>
      <c r="C1151" s="7">
        <v>1030</v>
      </c>
      <c r="D1151" s="8" t="s">
        <v>7347</v>
      </c>
      <c r="E1151" s="8" t="s">
        <v>7348</v>
      </c>
      <c r="F1151" s="8" t="s">
        <v>490</v>
      </c>
      <c r="G1151" s="6" t="s">
        <v>37</v>
      </c>
      <c r="H1151" s="6" t="s">
        <v>79</v>
      </c>
      <c r="I1151" s="8" t="s">
        <v>80</v>
      </c>
      <c r="J1151" s="9">
        <v>1</v>
      </c>
      <c r="K1151" s="9">
        <v>245</v>
      </c>
      <c r="L1151" s="9">
        <v>2022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1118</v>
      </c>
      <c r="S1151" s="11" t="s">
        <v>7350</v>
      </c>
      <c r="T1151" s="6"/>
      <c r="U1151" s="28" t="str">
        <f>HYPERLINK("https://media.infra-m.ru/1417/1417072/cover/1417072.jpg", "Обложка")</f>
        <v>Обложка</v>
      </c>
      <c r="V1151" s="28" t="str">
        <f>HYPERLINK("https://znanium.ru/catalog/product/1417072", "Ознакомиться")</f>
        <v>Ознакомиться</v>
      </c>
      <c r="W1151" s="8" t="s">
        <v>83</v>
      </c>
      <c r="X1151" s="6"/>
      <c r="Y1151" s="6"/>
      <c r="Z1151" s="6"/>
      <c r="AA1151" s="6" t="s">
        <v>475</v>
      </c>
    </row>
    <row r="1152" spans="1:27" s="4" customFormat="1" ht="51.95" customHeight="1">
      <c r="A1152" s="5">
        <v>0</v>
      </c>
      <c r="B1152" s="6" t="s">
        <v>7351</v>
      </c>
      <c r="C1152" s="13">
        <v>914.9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116</v>
      </c>
      <c r="I1152" s="8" t="s">
        <v>39</v>
      </c>
      <c r="J1152" s="9">
        <v>1</v>
      </c>
      <c r="K1152" s="9">
        <v>204</v>
      </c>
      <c r="L1152" s="9">
        <v>2023</v>
      </c>
      <c r="M1152" s="8" t="s">
        <v>7355</v>
      </c>
      <c r="N1152" s="8" t="s">
        <v>118</v>
      </c>
      <c r="O1152" s="8" t="s">
        <v>119</v>
      </c>
      <c r="P1152" s="6" t="s">
        <v>43</v>
      </c>
      <c r="Q1152" s="8" t="s">
        <v>44</v>
      </c>
      <c r="R1152" s="10" t="s">
        <v>7356</v>
      </c>
      <c r="S1152" s="11" t="s">
        <v>7357</v>
      </c>
      <c r="T1152" s="6"/>
      <c r="U1152" s="28" t="str">
        <f>HYPERLINK("https://media.infra-m.ru/1976/1976199/cover/1976199.jpg", "Обложка")</f>
        <v>Обложка</v>
      </c>
      <c r="V1152" s="28" t="str">
        <f>HYPERLINK("https://znanium.ru/catalog/product/1976199", "Ознакомиться")</f>
        <v>Ознакомиться</v>
      </c>
      <c r="W1152" s="8"/>
      <c r="X1152" s="6"/>
      <c r="Y1152" s="6"/>
      <c r="Z1152" s="6" t="s">
        <v>48</v>
      </c>
      <c r="AA1152" s="6" t="s">
        <v>656</v>
      </c>
    </row>
    <row r="1153" spans="1:27" s="4" customFormat="1" ht="51.95" customHeight="1">
      <c r="A1153" s="5">
        <v>0</v>
      </c>
      <c r="B1153" s="6" t="s">
        <v>7358</v>
      </c>
      <c r="C1153" s="13">
        <v>444</v>
      </c>
      <c r="D1153" s="8" t="s">
        <v>7359</v>
      </c>
      <c r="E1153" s="8" t="s">
        <v>7360</v>
      </c>
      <c r="F1153" s="8" t="s">
        <v>7361</v>
      </c>
      <c r="G1153" s="6" t="s">
        <v>54</v>
      </c>
      <c r="H1153" s="6" t="s">
        <v>38</v>
      </c>
      <c r="I1153" s="8" t="s">
        <v>39</v>
      </c>
      <c r="J1153" s="9">
        <v>1</v>
      </c>
      <c r="K1153" s="9">
        <v>96</v>
      </c>
      <c r="L1153" s="9">
        <v>2024</v>
      </c>
      <c r="M1153" s="8" t="s">
        <v>7362</v>
      </c>
      <c r="N1153" s="8" t="s">
        <v>68</v>
      </c>
      <c r="O1153" s="8" t="s">
        <v>699</v>
      </c>
      <c r="P1153" s="6" t="s">
        <v>43</v>
      </c>
      <c r="Q1153" s="8" t="s">
        <v>44</v>
      </c>
      <c r="R1153" s="10" t="s">
        <v>2895</v>
      </c>
      <c r="S1153" s="11" t="s">
        <v>7363</v>
      </c>
      <c r="T1153" s="6"/>
      <c r="U1153" s="28" t="str">
        <f>HYPERLINK("https://media.infra-m.ru/2125/2125004/cover/2125004.jpg", "Обложка")</f>
        <v>Обложка</v>
      </c>
      <c r="V1153" s="28" t="str">
        <f>HYPERLINK("https://znanium.ru/catalog/product/1074616", "Ознакомиться")</f>
        <v>Ознакомиться</v>
      </c>
      <c r="W1153" s="8" t="s">
        <v>7364</v>
      </c>
      <c r="X1153" s="6"/>
      <c r="Y1153" s="6"/>
      <c r="Z1153" s="6" t="s">
        <v>48</v>
      </c>
      <c r="AA1153" s="6" t="s">
        <v>524</v>
      </c>
    </row>
    <row r="1154" spans="1:27" s="4" customFormat="1" ht="51.95" customHeight="1">
      <c r="A1154" s="5">
        <v>0</v>
      </c>
      <c r="B1154" s="6" t="s">
        <v>7365</v>
      </c>
      <c r="C1154" s="7">
        <v>1154.9000000000001</v>
      </c>
      <c r="D1154" s="8" t="s">
        <v>7366</v>
      </c>
      <c r="E1154" s="8" t="s">
        <v>7367</v>
      </c>
      <c r="F1154" s="8" t="s">
        <v>7368</v>
      </c>
      <c r="G1154" s="6" t="s">
        <v>37</v>
      </c>
      <c r="H1154" s="6" t="s">
        <v>581</v>
      </c>
      <c r="I1154" s="8" t="s">
        <v>582</v>
      </c>
      <c r="J1154" s="9">
        <v>1</v>
      </c>
      <c r="K1154" s="9">
        <v>256</v>
      </c>
      <c r="L1154" s="9">
        <v>2023</v>
      </c>
      <c r="M1154" s="8" t="s">
        <v>7369</v>
      </c>
      <c r="N1154" s="8" t="s">
        <v>118</v>
      </c>
      <c r="O1154" s="8" t="s">
        <v>119</v>
      </c>
      <c r="P1154" s="6" t="s">
        <v>43</v>
      </c>
      <c r="Q1154" s="8" t="s">
        <v>44</v>
      </c>
      <c r="R1154" s="10" t="s">
        <v>4668</v>
      </c>
      <c r="S1154" s="11" t="s">
        <v>7370</v>
      </c>
      <c r="T1154" s="6"/>
      <c r="U1154" s="28" t="str">
        <f>HYPERLINK("https://media.infra-m.ru/2029/2029848/cover/2029848.jpg", "Обложка")</f>
        <v>Обложка</v>
      </c>
      <c r="V1154" s="28" t="str">
        <f>HYPERLINK("https://znanium.ru/catalog/product/1841699", "Ознакомиться")</f>
        <v>Ознакомиться</v>
      </c>
      <c r="W1154" s="8" t="s">
        <v>60</v>
      </c>
      <c r="X1154" s="6"/>
      <c r="Y1154" s="6"/>
      <c r="Z1154" s="6"/>
      <c r="AA1154" s="6" t="s">
        <v>164</v>
      </c>
    </row>
    <row r="1155" spans="1:27" s="4" customFormat="1" ht="51.95" customHeight="1">
      <c r="A1155" s="5">
        <v>0</v>
      </c>
      <c r="B1155" s="6" t="s">
        <v>7371</v>
      </c>
      <c r="C1155" s="7">
        <v>1080</v>
      </c>
      <c r="D1155" s="8" t="s">
        <v>7372</v>
      </c>
      <c r="E1155" s="8" t="s">
        <v>7373</v>
      </c>
      <c r="F1155" s="8" t="s">
        <v>7368</v>
      </c>
      <c r="G1155" s="6" t="s">
        <v>66</v>
      </c>
      <c r="H1155" s="6" t="s">
        <v>79</v>
      </c>
      <c r="I1155" s="8" t="s">
        <v>39</v>
      </c>
      <c r="J1155" s="9">
        <v>1</v>
      </c>
      <c r="K1155" s="9">
        <v>238</v>
      </c>
      <c r="L1155" s="9">
        <v>2023</v>
      </c>
      <c r="M1155" s="8" t="s">
        <v>7374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739</v>
      </c>
      <c r="S1155" s="11" t="s">
        <v>7375</v>
      </c>
      <c r="T1155" s="6"/>
      <c r="U1155" s="28" t="str">
        <f>HYPERLINK("https://media.infra-m.ru/2021/2021387/cover/2021387.jpg", "Обложка")</f>
        <v>Обложка</v>
      </c>
      <c r="V1155" s="28" t="str">
        <f>HYPERLINK("https://znanium.ru/catalog/product/2021387", "Ознакомиться")</f>
        <v>Ознакомиться</v>
      </c>
      <c r="W1155" s="8" t="s">
        <v>60</v>
      </c>
      <c r="X1155" s="6"/>
      <c r="Y1155" s="6"/>
      <c r="Z1155" s="6"/>
      <c r="AA1155" s="6" t="s">
        <v>164</v>
      </c>
    </row>
    <row r="1156" spans="1:27" s="4" customFormat="1" ht="51.95" customHeight="1">
      <c r="A1156" s="5">
        <v>0</v>
      </c>
      <c r="B1156" s="6" t="s">
        <v>7376</v>
      </c>
      <c r="C1156" s="7">
        <v>1070</v>
      </c>
      <c r="D1156" s="8" t="s">
        <v>7377</v>
      </c>
      <c r="E1156" s="8" t="s">
        <v>7378</v>
      </c>
      <c r="F1156" s="8" t="s">
        <v>7379</v>
      </c>
      <c r="G1156" s="6" t="s">
        <v>66</v>
      </c>
      <c r="H1156" s="6" t="s">
        <v>79</v>
      </c>
      <c r="I1156" s="8" t="s">
        <v>39</v>
      </c>
      <c r="J1156" s="9">
        <v>1</v>
      </c>
      <c r="K1156" s="9">
        <v>237</v>
      </c>
      <c r="L1156" s="9">
        <v>2024</v>
      </c>
      <c r="M1156" s="8" t="s">
        <v>7380</v>
      </c>
      <c r="N1156" s="8" t="s">
        <v>41</v>
      </c>
      <c r="O1156" s="8" t="s">
        <v>178</v>
      </c>
      <c r="P1156" s="6" t="s">
        <v>70</v>
      </c>
      <c r="Q1156" s="8" t="s">
        <v>44</v>
      </c>
      <c r="R1156" s="10" t="s">
        <v>7381</v>
      </c>
      <c r="S1156" s="11" t="s">
        <v>7382</v>
      </c>
      <c r="T1156" s="6"/>
      <c r="U1156" s="28" t="str">
        <f>HYPERLINK("https://media.infra-m.ru/2053/2053987/cover/2053987.jpg", "Обложка")</f>
        <v>Обложка</v>
      </c>
      <c r="V1156" s="28" t="str">
        <f>HYPERLINK("https://znanium.ru/catalog/product/2053987", "Ознакомиться")</f>
        <v>Ознакомиться</v>
      </c>
      <c r="W1156" s="8" t="s">
        <v>181</v>
      </c>
      <c r="X1156" s="6"/>
      <c r="Y1156" s="6"/>
      <c r="Z1156" s="6"/>
      <c r="AA1156" s="6" t="s">
        <v>1358</v>
      </c>
    </row>
    <row r="1157" spans="1:27" s="4" customFormat="1" ht="42" customHeight="1">
      <c r="A1157" s="5">
        <v>0</v>
      </c>
      <c r="B1157" s="6" t="s">
        <v>7383</v>
      </c>
      <c r="C1157" s="7">
        <v>1620</v>
      </c>
      <c r="D1157" s="8" t="s">
        <v>7384</v>
      </c>
      <c r="E1157" s="8" t="s">
        <v>7385</v>
      </c>
      <c r="F1157" s="8" t="s">
        <v>7386</v>
      </c>
      <c r="G1157" s="6" t="s">
        <v>66</v>
      </c>
      <c r="H1157" s="6" t="s">
        <v>716</v>
      </c>
      <c r="I1157" s="8" t="s">
        <v>39</v>
      </c>
      <c r="J1157" s="9">
        <v>1</v>
      </c>
      <c r="K1157" s="9">
        <v>360</v>
      </c>
      <c r="L1157" s="9">
        <v>2023</v>
      </c>
      <c r="M1157" s="8" t="s">
        <v>7387</v>
      </c>
      <c r="N1157" s="8" t="s">
        <v>41</v>
      </c>
      <c r="O1157" s="8" t="s">
        <v>42</v>
      </c>
      <c r="P1157" s="6" t="s">
        <v>70</v>
      </c>
      <c r="Q1157" s="8" t="s">
        <v>44</v>
      </c>
      <c r="R1157" s="10" t="s">
        <v>7388</v>
      </c>
      <c r="S1157" s="11"/>
      <c r="T1157" s="6"/>
      <c r="U1157" s="28" t="str">
        <f>HYPERLINK("https://media.infra-m.ru/1999/1999922/cover/1999922.jpg", "Обложка")</f>
        <v>Обложка</v>
      </c>
      <c r="V1157" s="28" t="str">
        <f>HYPERLINK("https://znanium.ru/catalog/product/1999922", "Ознакомиться")</f>
        <v>Ознакомиться</v>
      </c>
      <c r="W1157" s="8" t="s">
        <v>943</v>
      </c>
      <c r="X1157" s="6"/>
      <c r="Y1157" s="6" t="s">
        <v>30</v>
      </c>
      <c r="Z1157" s="6"/>
      <c r="AA1157" s="6" t="s">
        <v>671</v>
      </c>
    </row>
    <row r="1158" spans="1:27" s="4" customFormat="1" ht="51.95" customHeight="1">
      <c r="A1158" s="5">
        <v>0</v>
      </c>
      <c r="B1158" s="6" t="s">
        <v>7389</v>
      </c>
      <c r="C1158" s="7">
        <v>1330</v>
      </c>
      <c r="D1158" s="8" t="s">
        <v>7390</v>
      </c>
      <c r="E1158" s="8" t="s">
        <v>7391</v>
      </c>
      <c r="F1158" s="8" t="s">
        <v>7392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288</v>
      </c>
      <c r="L1158" s="9">
        <v>2024</v>
      </c>
      <c r="M1158" s="8" t="s">
        <v>7393</v>
      </c>
      <c r="N1158" s="8" t="s">
        <v>41</v>
      </c>
      <c r="O1158" s="8" t="s">
        <v>160</v>
      </c>
      <c r="P1158" s="6" t="s">
        <v>43</v>
      </c>
      <c r="Q1158" s="8" t="s">
        <v>44</v>
      </c>
      <c r="R1158" s="10" t="s">
        <v>7394</v>
      </c>
      <c r="S1158" s="11" t="s">
        <v>7395</v>
      </c>
      <c r="T1158" s="6"/>
      <c r="U1158" s="28" t="str">
        <f>HYPERLINK("https://media.infra-m.ru/2013/2013711/cover/2013711.jpg", "Обложка")</f>
        <v>Обложка</v>
      </c>
      <c r="V1158" s="28" t="str">
        <f>HYPERLINK("https://znanium.ru/catalog/product/2013711", "Ознакомиться")</f>
        <v>Ознакомиться</v>
      </c>
      <c r="W1158" s="8" t="s">
        <v>3453</v>
      </c>
      <c r="X1158" s="6"/>
      <c r="Y1158" s="6" t="s">
        <v>30</v>
      </c>
      <c r="Z1158" s="6" t="s">
        <v>48</v>
      </c>
      <c r="AA1158" s="6" t="s">
        <v>94</v>
      </c>
    </row>
    <row r="1159" spans="1:27" s="4" customFormat="1" ht="51.95" customHeight="1">
      <c r="A1159" s="5">
        <v>0</v>
      </c>
      <c r="B1159" s="6" t="s">
        <v>7396</v>
      </c>
      <c r="C1159" s="13">
        <v>820</v>
      </c>
      <c r="D1159" s="8" t="s">
        <v>7397</v>
      </c>
      <c r="E1159" s="8" t="s">
        <v>7398</v>
      </c>
      <c r="F1159" s="8" t="s">
        <v>7399</v>
      </c>
      <c r="G1159" s="6" t="s">
        <v>54</v>
      </c>
      <c r="H1159" s="6" t="s">
        <v>38</v>
      </c>
      <c r="I1159" s="8" t="s">
        <v>39</v>
      </c>
      <c r="J1159" s="9">
        <v>1</v>
      </c>
      <c r="K1159" s="9">
        <v>176</v>
      </c>
      <c r="L1159" s="9">
        <v>2024</v>
      </c>
      <c r="M1159" s="8" t="s">
        <v>7400</v>
      </c>
      <c r="N1159" s="8" t="s">
        <v>41</v>
      </c>
      <c r="O1159" s="8" t="s">
        <v>303</v>
      </c>
      <c r="P1159" s="6" t="s">
        <v>43</v>
      </c>
      <c r="Q1159" s="8" t="s">
        <v>44</v>
      </c>
      <c r="R1159" s="10" t="s">
        <v>3889</v>
      </c>
      <c r="S1159" s="11" t="s">
        <v>7401</v>
      </c>
      <c r="T1159" s="6"/>
      <c r="U1159" s="28" t="str">
        <f>HYPERLINK("https://media.infra-m.ru/2116/2116909/cover/2116909.jpg", "Обложка")</f>
        <v>Обложка</v>
      </c>
      <c r="V1159" s="28" t="str">
        <f>HYPERLINK("https://znanium.ru/catalog/product/2116909", "Ознакомиться")</f>
        <v>Ознакомиться</v>
      </c>
      <c r="W1159" s="8" t="s">
        <v>3453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7402</v>
      </c>
      <c r="C1160" s="13">
        <v>960</v>
      </c>
      <c r="D1160" s="8" t="s">
        <v>7403</v>
      </c>
      <c r="E1160" s="8" t="s">
        <v>7404</v>
      </c>
      <c r="F1160" s="8" t="s">
        <v>7405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203</v>
      </c>
      <c r="L1160" s="9">
        <v>2024</v>
      </c>
      <c r="M1160" s="8" t="s">
        <v>7406</v>
      </c>
      <c r="N1160" s="8" t="s">
        <v>41</v>
      </c>
      <c r="O1160" s="8" t="s">
        <v>160</v>
      </c>
      <c r="P1160" s="6" t="s">
        <v>43</v>
      </c>
      <c r="Q1160" s="8" t="s">
        <v>44</v>
      </c>
      <c r="R1160" s="10" t="s">
        <v>7407</v>
      </c>
      <c r="S1160" s="11" t="s">
        <v>7408</v>
      </c>
      <c r="T1160" s="6"/>
      <c r="U1160" s="28" t="str">
        <f>HYPERLINK("https://media.infra-m.ru/2117/2117630/cover/2117630.jpg", "Обложка")</f>
        <v>Обложка</v>
      </c>
      <c r="V1160" s="28" t="str">
        <f>HYPERLINK("https://znanium.ru/catalog/product/2117630", "Ознакомиться")</f>
        <v>Ознакомиться</v>
      </c>
      <c r="W1160" s="8" t="s">
        <v>7409</v>
      </c>
      <c r="X1160" s="6"/>
      <c r="Y1160" s="6"/>
      <c r="Z1160" s="6" t="s">
        <v>687</v>
      </c>
      <c r="AA1160" s="6" t="s">
        <v>213</v>
      </c>
    </row>
    <row r="1161" spans="1:27" s="4" customFormat="1" ht="51.95" customHeight="1">
      <c r="A1161" s="5">
        <v>0</v>
      </c>
      <c r="B1161" s="6" t="s">
        <v>7410</v>
      </c>
      <c r="C1161" s="7">
        <v>1390</v>
      </c>
      <c r="D1161" s="8" t="s">
        <v>7411</v>
      </c>
      <c r="E1161" s="8" t="s">
        <v>7412</v>
      </c>
      <c r="F1161" s="8" t="s">
        <v>7413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295</v>
      </c>
      <c r="L1161" s="9">
        <v>2024</v>
      </c>
      <c r="M1161" s="8" t="s">
        <v>7414</v>
      </c>
      <c r="N1161" s="8" t="s">
        <v>41</v>
      </c>
      <c r="O1161" s="8" t="s">
        <v>178</v>
      </c>
      <c r="P1161" s="6" t="s">
        <v>70</v>
      </c>
      <c r="Q1161" s="8" t="s">
        <v>44</v>
      </c>
      <c r="R1161" s="10" t="s">
        <v>7415</v>
      </c>
      <c r="S1161" s="11" t="s">
        <v>7416</v>
      </c>
      <c r="T1161" s="6"/>
      <c r="U1161" s="28" t="str">
        <f>HYPERLINK("https://media.infra-m.ru/2104/2104117/cover/2104117.jpg", "Обложка")</f>
        <v>Обложка</v>
      </c>
      <c r="V1161" s="28" t="str">
        <f>HYPERLINK("https://znanium.ru/catalog/product/2104117", "Ознакомиться")</f>
        <v>Ознакомиться</v>
      </c>
      <c r="W1161" s="8" t="s">
        <v>3993</v>
      </c>
      <c r="X1161" s="6"/>
      <c r="Y1161" s="6" t="s">
        <v>30</v>
      </c>
      <c r="Z1161" s="6"/>
      <c r="AA1161" s="6" t="s">
        <v>213</v>
      </c>
    </row>
    <row r="1162" spans="1:27" s="4" customFormat="1" ht="51.95" customHeight="1">
      <c r="A1162" s="5">
        <v>0</v>
      </c>
      <c r="B1162" s="6" t="s">
        <v>7417</v>
      </c>
      <c r="C1162" s="7">
        <v>1660</v>
      </c>
      <c r="D1162" s="8" t="s">
        <v>7418</v>
      </c>
      <c r="E1162" s="8" t="s">
        <v>7419</v>
      </c>
      <c r="F1162" s="8" t="s">
        <v>7420</v>
      </c>
      <c r="G1162" s="6" t="s">
        <v>66</v>
      </c>
      <c r="H1162" s="6" t="s">
        <v>79</v>
      </c>
      <c r="I1162" s="8" t="s">
        <v>39</v>
      </c>
      <c r="J1162" s="9">
        <v>1</v>
      </c>
      <c r="K1162" s="9">
        <v>356</v>
      </c>
      <c r="L1162" s="9">
        <v>2024</v>
      </c>
      <c r="M1162" s="8" t="s">
        <v>7421</v>
      </c>
      <c r="N1162" s="8" t="s">
        <v>41</v>
      </c>
      <c r="O1162" s="8" t="s">
        <v>160</v>
      </c>
      <c r="P1162" s="6" t="s">
        <v>43</v>
      </c>
      <c r="Q1162" s="8" t="s">
        <v>44</v>
      </c>
      <c r="R1162" s="10" t="s">
        <v>7422</v>
      </c>
      <c r="S1162" s="11" t="s">
        <v>7423</v>
      </c>
      <c r="T1162" s="6"/>
      <c r="U1162" s="28" t="str">
        <f>HYPERLINK("https://media.infra-m.ru/2110/2110476/cover/2110476.jpg", "Обложка")</f>
        <v>Обложка</v>
      </c>
      <c r="V1162" s="28" t="str">
        <f>HYPERLINK("https://znanium.ru/catalog/product/2110476", "Ознакомиться")</f>
        <v>Ознакомиться</v>
      </c>
      <c r="W1162" s="8" t="s">
        <v>2407</v>
      </c>
      <c r="X1162" s="6"/>
      <c r="Y1162" s="6" t="s">
        <v>30</v>
      </c>
      <c r="Z1162" s="6" t="s">
        <v>48</v>
      </c>
      <c r="AA1162" s="6" t="s">
        <v>656</v>
      </c>
    </row>
    <row r="1163" spans="1:27" s="4" customFormat="1" ht="51.95" customHeight="1">
      <c r="A1163" s="5">
        <v>0</v>
      </c>
      <c r="B1163" s="6" t="s">
        <v>7424</v>
      </c>
      <c r="C1163" s="7">
        <v>1280</v>
      </c>
      <c r="D1163" s="8" t="s">
        <v>7425</v>
      </c>
      <c r="E1163" s="8" t="s">
        <v>7426</v>
      </c>
      <c r="F1163" s="8" t="s">
        <v>7427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278</v>
      </c>
      <c r="L1163" s="9">
        <v>2024</v>
      </c>
      <c r="M1163" s="8" t="s">
        <v>7428</v>
      </c>
      <c r="N1163" s="8" t="s">
        <v>41</v>
      </c>
      <c r="O1163" s="8" t="s">
        <v>227</v>
      </c>
      <c r="P1163" s="6" t="s">
        <v>43</v>
      </c>
      <c r="Q1163" s="8" t="s">
        <v>44</v>
      </c>
      <c r="R1163" s="10" t="s">
        <v>7429</v>
      </c>
      <c r="S1163" s="11" t="s">
        <v>7430</v>
      </c>
      <c r="T1163" s="6" t="s">
        <v>110</v>
      </c>
      <c r="U1163" s="28" t="str">
        <f>HYPERLINK("https://media.infra-m.ru/2067/2067397/cover/2067397.jpg", "Обложка")</f>
        <v>Обложка</v>
      </c>
      <c r="V1163" s="28" t="str">
        <f>HYPERLINK("https://znanium.ru/catalog/product/2067397", "Ознакомиться")</f>
        <v>Ознакомиться</v>
      </c>
      <c r="W1163" s="8" t="s">
        <v>7431</v>
      </c>
      <c r="X1163" s="6"/>
      <c r="Y1163" s="6"/>
      <c r="Z1163" s="6"/>
      <c r="AA1163" s="6" t="s">
        <v>414</v>
      </c>
    </row>
    <row r="1164" spans="1:27" s="4" customFormat="1" ht="51.95" customHeight="1">
      <c r="A1164" s="5">
        <v>0</v>
      </c>
      <c r="B1164" s="6" t="s">
        <v>7432</v>
      </c>
      <c r="C1164" s="7">
        <v>1827</v>
      </c>
      <c r="D1164" s="8" t="s">
        <v>7433</v>
      </c>
      <c r="E1164" s="8" t="s">
        <v>7434</v>
      </c>
      <c r="F1164" s="8" t="s">
        <v>7435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303</v>
      </c>
      <c r="L1164" s="9">
        <v>2024</v>
      </c>
      <c r="M1164" s="8" t="s">
        <v>7436</v>
      </c>
      <c r="N1164" s="8" t="s">
        <v>41</v>
      </c>
      <c r="O1164" s="8" t="s">
        <v>160</v>
      </c>
      <c r="P1164" s="6" t="s">
        <v>43</v>
      </c>
      <c r="Q1164" s="8" t="s">
        <v>44</v>
      </c>
      <c r="R1164" s="10" t="s">
        <v>3345</v>
      </c>
      <c r="S1164" s="11" t="s">
        <v>7437</v>
      </c>
      <c r="T1164" s="6"/>
      <c r="U1164" s="28" t="str">
        <f>HYPERLINK("https://media.infra-m.ru/2116/2116915/cover/2116915.jpg", "Обложка")</f>
        <v>Обложка</v>
      </c>
      <c r="V1164" s="28" t="str">
        <f>HYPERLINK("https://znanium.ru/catalog/product/2103202", "Ознакомиться")</f>
        <v>Ознакомиться</v>
      </c>
      <c r="W1164" s="8" t="s">
        <v>3220</v>
      </c>
      <c r="X1164" s="6"/>
      <c r="Y1164" s="6"/>
      <c r="Z1164" s="6" t="s">
        <v>48</v>
      </c>
      <c r="AA1164" s="6" t="s">
        <v>122</v>
      </c>
    </row>
    <row r="1165" spans="1:27" s="4" customFormat="1" ht="51.95" customHeight="1">
      <c r="A1165" s="5">
        <v>0</v>
      </c>
      <c r="B1165" s="6" t="s">
        <v>7438</v>
      </c>
      <c r="C1165" s="7">
        <v>1034</v>
      </c>
      <c r="D1165" s="8" t="s">
        <v>7439</v>
      </c>
      <c r="E1165" s="8" t="s">
        <v>7440</v>
      </c>
      <c r="F1165" s="8" t="s">
        <v>7441</v>
      </c>
      <c r="G1165" s="6" t="s">
        <v>54</v>
      </c>
      <c r="H1165" s="6" t="s">
        <v>38</v>
      </c>
      <c r="I1165" s="8" t="s">
        <v>39</v>
      </c>
      <c r="J1165" s="9">
        <v>1</v>
      </c>
      <c r="K1165" s="9">
        <v>224</v>
      </c>
      <c r="L1165" s="9">
        <v>2024</v>
      </c>
      <c r="M1165" s="8" t="s">
        <v>7442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3345</v>
      </c>
      <c r="S1165" s="11" t="s">
        <v>7443</v>
      </c>
      <c r="T1165" s="6"/>
      <c r="U1165" s="28" t="str">
        <f>HYPERLINK("https://media.infra-m.ru/1913/1913644/cover/1913644.jpg", "Обложка")</f>
        <v>Обложка</v>
      </c>
      <c r="V1165" s="28" t="str">
        <f>HYPERLINK("https://znanium.ru/catalog/product/1209815", "Ознакомиться")</f>
        <v>Ознакомиться</v>
      </c>
      <c r="W1165" s="8" t="s">
        <v>555</v>
      </c>
      <c r="X1165" s="6"/>
      <c r="Y1165" s="6"/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7444</v>
      </c>
      <c r="C1166" s="13">
        <v>530</v>
      </c>
      <c r="D1166" s="8" t="s">
        <v>7445</v>
      </c>
      <c r="E1166" s="8" t="s">
        <v>7446</v>
      </c>
      <c r="F1166" s="8" t="s">
        <v>7447</v>
      </c>
      <c r="G1166" s="6" t="s">
        <v>54</v>
      </c>
      <c r="H1166" s="6" t="s">
        <v>55</v>
      </c>
      <c r="I1166" s="8" t="s">
        <v>56</v>
      </c>
      <c r="J1166" s="9">
        <v>1</v>
      </c>
      <c r="K1166" s="9">
        <v>96</v>
      </c>
      <c r="L1166" s="9">
        <v>2024</v>
      </c>
      <c r="M1166" s="8" t="s">
        <v>7448</v>
      </c>
      <c r="N1166" s="8" t="s">
        <v>41</v>
      </c>
      <c r="O1166" s="8" t="s">
        <v>160</v>
      </c>
      <c r="P1166" s="6" t="s">
        <v>43</v>
      </c>
      <c r="Q1166" s="8" t="s">
        <v>44</v>
      </c>
      <c r="R1166" s="10" t="s">
        <v>7449</v>
      </c>
      <c r="S1166" s="11" t="s">
        <v>7450</v>
      </c>
      <c r="T1166" s="6"/>
      <c r="U1166" s="28" t="str">
        <f>HYPERLINK("https://media.infra-m.ru/2139/2139097/cover/2139097.jpg", "Обложка")</f>
        <v>Обложка</v>
      </c>
      <c r="V1166" s="28" t="str">
        <f>HYPERLINK("https://znanium.ru/catalog/product/2139097", "Ознакомиться")</f>
        <v>Ознакомиться</v>
      </c>
      <c r="W1166" s="8" t="s">
        <v>7451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7452</v>
      </c>
      <c r="C1167" s="7">
        <v>2180</v>
      </c>
      <c r="D1167" s="8" t="s">
        <v>7453</v>
      </c>
      <c r="E1167" s="8" t="s">
        <v>7454</v>
      </c>
      <c r="F1167" s="8" t="s">
        <v>7455</v>
      </c>
      <c r="G1167" s="6" t="s">
        <v>37</v>
      </c>
      <c r="H1167" s="6" t="s">
        <v>79</v>
      </c>
      <c r="I1167" s="8" t="s">
        <v>4636</v>
      </c>
      <c r="J1167" s="9">
        <v>1</v>
      </c>
      <c r="K1167" s="9">
        <v>462</v>
      </c>
      <c r="L1167" s="9">
        <v>2024</v>
      </c>
      <c r="M1167" s="8" t="s">
        <v>7456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7457</v>
      </c>
      <c r="S1167" s="11" t="s">
        <v>7458</v>
      </c>
      <c r="T1167" s="6"/>
      <c r="U1167" s="28" t="str">
        <f>HYPERLINK("https://media.infra-m.ru/2139/2139785/cover/2139785.jpg", "Обложка")</f>
        <v>Обложка</v>
      </c>
      <c r="V1167" s="12"/>
      <c r="W1167" s="8" t="s">
        <v>2599</v>
      </c>
      <c r="X1167" s="6"/>
      <c r="Y1167" s="6"/>
      <c r="Z1167" s="6" t="s">
        <v>48</v>
      </c>
      <c r="AA1167" s="6" t="s">
        <v>94</v>
      </c>
    </row>
    <row r="1168" spans="1:27" s="4" customFormat="1" ht="51.95" customHeight="1">
      <c r="A1168" s="5">
        <v>0</v>
      </c>
      <c r="B1168" s="6" t="s">
        <v>7459</v>
      </c>
      <c r="C1168" s="7">
        <v>1700</v>
      </c>
      <c r="D1168" s="8" t="s">
        <v>7460</v>
      </c>
      <c r="E1168" s="8" t="s">
        <v>7461</v>
      </c>
      <c r="F1168" s="8" t="s">
        <v>7462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364</v>
      </c>
      <c r="L1168" s="9">
        <v>2024</v>
      </c>
      <c r="M1168" s="8" t="s">
        <v>7463</v>
      </c>
      <c r="N1168" s="8" t="s">
        <v>41</v>
      </c>
      <c r="O1168" s="8" t="s">
        <v>160</v>
      </c>
      <c r="P1168" s="6" t="s">
        <v>70</v>
      </c>
      <c r="Q1168" s="8" t="s">
        <v>44</v>
      </c>
      <c r="R1168" s="10" t="s">
        <v>684</v>
      </c>
      <c r="S1168" s="11" t="s">
        <v>7464</v>
      </c>
      <c r="T1168" s="6"/>
      <c r="U1168" s="28" t="str">
        <f>HYPERLINK("https://media.infra-m.ru/1902/1902852/cover/1902852.jpg", "Обложка")</f>
        <v>Обложка</v>
      </c>
      <c r="V1168" s="28" t="str">
        <f>HYPERLINK("https://znanium.ru/catalog/product/1902852", "Ознакомиться")</f>
        <v>Ознакомиться</v>
      </c>
      <c r="W1168" s="8" t="s">
        <v>5912</v>
      </c>
      <c r="X1168" s="6"/>
      <c r="Y1168" s="6"/>
      <c r="Z1168" s="6" t="s">
        <v>48</v>
      </c>
      <c r="AA1168" s="6" t="s">
        <v>94</v>
      </c>
    </row>
    <row r="1169" spans="1:27" s="4" customFormat="1" ht="51.95" customHeight="1">
      <c r="A1169" s="5">
        <v>0</v>
      </c>
      <c r="B1169" s="6" t="s">
        <v>7465</v>
      </c>
      <c r="C1169" s="7">
        <v>1034</v>
      </c>
      <c r="D1169" s="8" t="s">
        <v>7466</v>
      </c>
      <c r="E1169" s="8" t="s">
        <v>7461</v>
      </c>
      <c r="F1169" s="8" t="s">
        <v>1066</v>
      </c>
      <c r="G1169" s="6" t="s">
        <v>37</v>
      </c>
      <c r="H1169" s="6" t="s">
        <v>38</v>
      </c>
      <c r="I1169" s="8" t="s">
        <v>39</v>
      </c>
      <c r="J1169" s="9">
        <v>1</v>
      </c>
      <c r="K1169" s="9">
        <v>224</v>
      </c>
      <c r="L1169" s="9">
        <v>2024</v>
      </c>
      <c r="M1169" s="8" t="s">
        <v>7467</v>
      </c>
      <c r="N1169" s="8" t="s">
        <v>41</v>
      </c>
      <c r="O1169" s="8" t="s">
        <v>227</v>
      </c>
      <c r="P1169" s="6" t="s">
        <v>70</v>
      </c>
      <c r="Q1169" s="8" t="s">
        <v>44</v>
      </c>
      <c r="R1169" s="10" t="s">
        <v>3345</v>
      </c>
      <c r="S1169" s="11" t="s">
        <v>7468</v>
      </c>
      <c r="T1169" s="6"/>
      <c r="U1169" s="28" t="str">
        <f>HYPERLINK("https://media.infra-m.ru/2090/2090120/cover/2090120.jpg", "Обложка")</f>
        <v>Обложка</v>
      </c>
      <c r="V1169" s="28" t="str">
        <f>HYPERLINK("https://znanium.ru/catalog/product/1872732", "Ознакомиться")</f>
        <v>Ознакомиться</v>
      </c>
      <c r="W1169" s="8" t="s">
        <v>172</v>
      </c>
      <c r="X1169" s="6"/>
      <c r="Y1169" s="6"/>
      <c r="Z1169" s="6" t="s">
        <v>48</v>
      </c>
      <c r="AA1169" s="6" t="s">
        <v>94</v>
      </c>
    </row>
    <row r="1170" spans="1:27" s="4" customFormat="1" ht="51.95" customHeight="1">
      <c r="A1170" s="5">
        <v>0</v>
      </c>
      <c r="B1170" s="6" t="s">
        <v>7469</v>
      </c>
      <c r="C1170" s="7">
        <v>2432</v>
      </c>
      <c r="D1170" s="8" t="s">
        <v>7470</v>
      </c>
      <c r="E1170" s="8" t="s">
        <v>7471</v>
      </c>
      <c r="F1170" s="8" t="s">
        <v>5603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407</v>
      </c>
      <c r="L1170" s="9">
        <v>2024</v>
      </c>
      <c r="M1170" s="8" t="s">
        <v>7472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7473</v>
      </c>
      <c r="S1170" s="11" t="s">
        <v>7474</v>
      </c>
      <c r="T1170" s="6"/>
      <c r="U1170" s="28" t="str">
        <f>HYPERLINK("https://media.infra-m.ru/2103/2103203/cover/2103203.jpg", "Обложка")</f>
        <v>Обложка</v>
      </c>
      <c r="V1170" s="28" t="str">
        <f>HYPERLINK("https://znanium.ru/catalog/product/2103203", "Ознакомиться")</f>
        <v>Ознакомиться</v>
      </c>
      <c r="W1170" s="8"/>
      <c r="X1170" s="6"/>
      <c r="Y1170" s="6"/>
      <c r="Z1170" s="6"/>
      <c r="AA1170" s="6" t="s">
        <v>1350</v>
      </c>
    </row>
    <row r="1171" spans="1:27" s="4" customFormat="1" ht="51.95" customHeight="1">
      <c r="A1171" s="5">
        <v>0</v>
      </c>
      <c r="B1171" s="6" t="s">
        <v>7475</v>
      </c>
      <c r="C1171" s="13">
        <v>370</v>
      </c>
      <c r="D1171" s="8" t="s">
        <v>7476</v>
      </c>
      <c r="E1171" s="8" t="s">
        <v>7477</v>
      </c>
      <c r="F1171" s="8" t="s">
        <v>7478</v>
      </c>
      <c r="G1171" s="6" t="s">
        <v>54</v>
      </c>
      <c r="H1171" s="6" t="s">
        <v>38</v>
      </c>
      <c r="I1171" s="8" t="s">
        <v>39</v>
      </c>
      <c r="J1171" s="9">
        <v>1</v>
      </c>
      <c r="K1171" s="9">
        <v>96</v>
      </c>
      <c r="L1171" s="9">
        <v>2022</v>
      </c>
      <c r="M1171" s="8" t="s">
        <v>7479</v>
      </c>
      <c r="N1171" s="8" t="s">
        <v>41</v>
      </c>
      <c r="O1171" s="8" t="s">
        <v>303</v>
      </c>
      <c r="P1171" s="6" t="s">
        <v>43</v>
      </c>
      <c r="Q1171" s="8" t="s">
        <v>44</v>
      </c>
      <c r="R1171" s="10" t="s">
        <v>7480</v>
      </c>
      <c r="S1171" s="11" t="s">
        <v>7481</v>
      </c>
      <c r="T1171" s="6"/>
      <c r="U1171" s="28" t="str">
        <f>HYPERLINK("https://media.infra-m.ru/1864/1864138/cover/1864138.jpg", "Обложка")</f>
        <v>Обложка</v>
      </c>
      <c r="V1171" s="28" t="str">
        <f>HYPERLINK("https://znanium.ru/catalog/product/1864138", "Ознакомиться")</f>
        <v>Ознакомиться</v>
      </c>
      <c r="W1171" s="8" t="s">
        <v>3453</v>
      </c>
      <c r="X1171" s="6"/>
      <c r="Y1171" s="6"/>
      <c r="Z1171" s="6" t="s">
        <v>48</v>
      </c>
      <c r="AA1171" s="6" t="s">
        <v>213</v>
      </c>
    </row>
    <row r="1172" spans="1:27" s="4" customFormat="1" ht="51.95" customHeight="1">
      <c r="A1172" s="5">
        <v>0</v>
      </c>
      <c r="B1172" s="6" t="s">
        <v>7482</v>
      </c>
      <c r="C1172" s="7">
        <v>1660</v>
      </c>
      <c r="D1172" s="8" t="s">
        <v>7483</v>
      </c>
      <c r="E1172" s="8" t="s">
        <v>7484</v>
      </c>
      <c r="F1172" s="8" t="s">
        <v>7190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352</v>
      </c>
      <c r="L1172" s="9">
        <v>2024</v>
      </c>
      <c r="M1172" s="8" t="s">
        <v>7485</v>
      </c>
      <c r="N1172" s="8" t="s">
        <v>41</v>
      </c>
      <c r="O1172" s="8" t="s">
        <v>209</v>
      </c>
      <c r="P1172" s="6" t="s">
        <v>70</v>
      </c>
      <c r="Q1172" s="8" t="s">
        <v>44</v>
      </c>
      <c r="R1172" s="10" t="s">
        <v>7486</v>
      </c>
      <c r="S1172" s="11" t="s">
        <v>7487</v>
      </c>
      <c r="T1172" s="6"/>
      <c r="U1172" s="28" t="str">
        <f>HYPERLINK("https://media.infra-m.ru/2136/2136807/cover/2136807.jpg", "Обложка")</f>
        <v>Обложка</v>
      </c>
      <c r="V1172" s="28" t="str">
        <f>HYPERLINK("https://znanium.ru/catalog/product/2136807", "Ознакомиться")</f>
        <v>Ознакомиться</v>
      </c>
      <c r="W1172" s="8" t="s">
        <v>253</v>
      </c>
      <c r="X1172" s="6"/>
      <c r="Y1172" s="6" t="s">
        <v>30</v>
      </c>
      <c r="Z1172" s="6"/>
      <c r="AA1172" s="6" t="s">
        <v>467</v>
      </c>
    </row>
    <row r="1173" spans="1:27" s="4" customFormat="1" ht="42" customHeight="1">
      <c r="A1173" s="5">
        <v>0</v>
      </c>
      <c r="B1173" s="6" t="s">
        <v>7488</v>
      </c>
      <c r="C1173" s="13">
        <v>634</v>
      </c>
      <c r="D1173" s="8" t="s">
        <v>7489</v>
      </c>
      <c r="E1173" s="8" t="s">
        <v>7490</v>
      </c>
      <c r="F1173" s="8" t="s">
        <v>7491</v>
      </c>
      <c r="G1173" s="6" t="s">
        <v>54</v>
      </c>
      <c r="H1173" s="6" t="s">
        <v>79</v>
      </c>
      <c r="I1173" s="8" t="s">
        <v>7492</v>
      </c>
      <c r="J1173" s="9">
        <v>1</v>
      </c>
      <c r="K1173" s="9">
        <v>127</v>
      </c>
      <c r="L1173" s="9">
        <v>2024</v>
      </c>
      <c r="M1173" s="8" t="s">
        <v>7493</v>
      </c>
      <c r="N1173" s="8" t="s">
        <v>118</v>
      </c>
      <c r="O1173" s="8" t="s">
        <v>2170</v>
      </c>
      <c r="P1173" s="6" t="s">
        <v>144</v>
      </c>
      <c r="Q1173" s="8" t="s">
        <v>1233</v>
      </c>
      <c r="R1173" s="10" t="s">
        <v>7494</v>
      </c>
      <c r="S1173" s="11"/>
      <c r="T1173" s="6"/>
      <c r="U1173" s="28" t="str">
        <f>HYPERLINK("https://media.infra-m.ru/2136/2136740/cover/2136740.jpg", "Обложка")</f>
        <v>Обложка</v>
      </c>
      <c r="V1173" s="28" t="str">
        <f>HYPERLINK("https://znanium.ru/catalog/product/2102655", "Ознакомиться")</f>
        <v>Ознакомиться</v>
      </c>
      <c r="W1173" s="8" t="s">
        <v>7495</v>
      </c>
      <c r="X1173" s="6"/>
      <c r="Y1173" s="6"/>
      <c r="Z1173" s="6"/>
      <c r="AA1173" s="6" t="s">
        <v>893</v>
      </c>
    </row>
    <row r="1174" spans="1:27" s="4" customFormat="1" ht="42" customHeight="1">
      <c r="A1174" s="5">
        <v>0</v>
      </c>
      <c r="B1174" s="6" t="s">
        <v>7496</v>
      </c>
      <c r="C1174" s="13">
        <v>434.9</v>
      </c>
      <c r="D1174" s="8" t="s">
        <v>7497</v>
      </c>
      <c r="E1174" s="8" t="s">
        <v>7498</v>
      </c>
      <c r="F1174" s="8" t="s">
        <v>7491</v>
      </c>
      <c r="G1174" s="6" t="s">
        <v>54</v>
      </c>
      <c r="H1174" s="6" t="s">
        <v>38</v>
      </c>
      <c r="I1174" s="8"/>
      <c r="J1174" s="9">
        <v>1</v>
      </c>
      <c r="K1174" s="9">
        <v>128</v>
      </c>
      <c r="L1174" s="9">
        <v>2019</v>
      </c>
      <c r="M1174" s="8" t="s">
        <v>7499</v>
      </c>
      <c r="N1174" s="8" t="s">
        <v>118</v>
      </c>
      <c r="O1174" s="8" t="s">
        <v>2170</v>
      </c>
      <c r="P1174" s="6" t="s">
        <v>7500</v>
      </c>
      <c r="Q1174" s="8" t="s">
        <v>1233</v>
      </c>
      <c r="R1174" s="10" t="s">
        <v>7494</v>
      </c>
      <c r="S1174" s="11"/>
      <c r="T1174" s="6"/>
      <c r="U1174" s="28" t="str">
        <f>HYPERLINK("https://media.infra-m.ru/1030/1030526/cover/1030526.jpg", "Обложка")</f>
        <v>Обложка</v>
      </c>
      <c r="V1174" s="28" t="str">
        <f>HYPERLINK("https://znanium.ru/catalog/product/2102655", "Ознакомиться")</f>
        <v>Ознакомиться</v>
      </c>
      <c r="W1174" s="8" t="s">
        <v>7495</v>
      </c>
      <c r="X1174" s="6"/>
      <c r="Y1174" s="6"/>
      <c r="Z1174" s="6"/>
      <c r="AA1174" s="6" t="s">
        <v>288</v>
      </c>
    </row>
    <row r="1175" spans="1:27" s="4" customFormat="1" ht="51.95" customHeight="1">
      <c r="A1175" s="5">
        <v>0</v>
      </c>
      <c r="B1175" s="6" t="s">
        <v>7501</v>
      </c>
      <c r="C1175" s="13">
        <v>740</v>
      </c>
      <c r="D1175" s="8" t="s">
        <v>7502</v>
      </c>
      <c r="E1175" s="8" t="s">
        <v>7503</v>
      </c>
      <c r="F1175" s="8" t="s">
        <v>7504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160</v>
      </c>
      <c r="L1175" s="9">
        <v>2024</v>
      </c>
      <c r="M1175" s="8" t="s">
        <v>7505</v>
      </c>
      <c r="N1175" s="8" t="s">
        <v>41</v>
      </c>
      <c r="O1175" s="8" t="s">
        <v>227</v>
      </c>
      <c r="P1175" s="6" t="s">
        <v>43</v>
      </c>
      <c r="Q1175" s="8" t="s">
        <v>44</v>
      </c>
      <c r="R1175" s="10" t="s">
        <v>7506</v>
      </c>
      <c r="S1175" s="11" t="s">
        <v>4619</v>
      </c>
      <c r="T1175" s="6"/>
      <c r="U1175" s="28" t="str">
        <f>HYPERLINK("https://media.infra-m.ru/2126/2126600/cover/2126600.jpg", "Обложка")</f>
        <v>Обложка</v>
      </c>
      <c r="V1175" s="28" t="str">
        <f>HYPERLINK("https://znanium.ru/catalog/product/2126600", "Ознакомиться")</f>
        <v>Ознакомиться</v>
      </c>
      <c r="W1175" s="8" t="s">
        <v>1913</v>
      </c>
      <c r="X1175" s="6"/>
      <c r="Y1175" s="6"/>
      <c r="Z1175" s="6" t="s">
        <v>48</v>
      </c>
      <c r="AA1175" s="6" t="s">
        <v>656</v>
      </c>
    </row>
    <row r="1176" spans="1:27" s="4" customFormat="1" ht="51.95" customHeight="1">
      <c r="A1176" s="5">
        <v>0</v>
      </c>
      <c r="B1176" s="6" t="s">
        <v>7507</v>
      </c>
      <c r="C1176" s="7">
        <v>1014.9</v>
      </c>
      <c r="D1176" s="8" t="s">
        <v>7508</v>
      </c>
      <c r="E1176" s="8" t="s">
        <v>7509</v>
      </c>
      <c r="F1176" s="8" t="s">
        <v>7510</v>
      </c>
      <c r="G1176" s="6" t="s">
        <v>37</v>
      </c>
      <c r="H1176" s="6" t="s">
        <v>79</v>
      </c>
      <c r="I1176" s="8" t="s">
        <v>39</v>
      </c>
      <c r="J1176" s="9">
        <v>1</v>
      </c>
      <c r="K1176" s="9">
        <v>224</v>
      </c>
      <c r="L1176" s="9">
        <v>2023</v>
      </c>
      <c r="M1176" s="8" t="s">
        <v>7511</v>
      </c>
      <c r="N1176" s="8" t="s">
        <v>41</v>
      </c>
      <c r="O1176" s="8" t="s">
        <v>227</v>
      </c>
      <c r="P1176" s="6" t="s">
        <v>43</v>
      </c>
      <c r="Q1176" s="8" t="s">
        <v>44</v>
      </c>
      <c r="R1176" s="10" t="s">
        <v>3345</v>
      </c>
      <c r="S1176" s="11" t="s">
        <v>6412</v>
      </c>
      <c r="T1176" s="6"/>
      <c r="U1176" s="28" t="str">
        <f>HYPERLINK("https://media.infra-m.ru/1897/1897003/cover/1897003.jpg", "Обложка")</f>
        <v>Обложка</v>
      </c>
      <c r="V1176" s="28" t="str">
        <f>HYPERLINK("https://znanium.ru/catalog/product/961719", "Ознакомиться")</f>
        <v>Ознакомиться</v>
      </c>
      <c r="W1176" s="8" t="s">
        <v>277</v>
      </c>
      <c r="X1176" s="6"/>
      <c r="Y1176" s="6"/>
      <c r="Z1176" s="6" t="s">
        <v>48</v>
      </c>
      <c r="AA1176" s="6" t="s">
        <v>656</v>
      </c>
    </row>
    <row r="1177" spans="1:27" s="4" customFormat="1" ht="51.95" customHeight="1">
      <c r="A1177" s="5">
        <v>0</v>
      </c>
      <c r="B1177" s="6" t="s">
        <v>7512</v>
      </c>
      <c r="C1177" s="7">
        <v>1694</v>
      </c>
      <c r="D1177" s="8" t="s">
        <v>7513</v>
      </c>
      <c r="E1177" s="8" t="s">
        <v>7514</v>
      </c>
      <c r="F1177" s="8" t="s">
        <v>282</v>
      </c>
      <c r="G1177" s="6" t="s">
        <v>66</v>
      </c>
      <c r="H1177" s="6" t="s">
        <v>283</v>
      </c>
      <c r="I1177" s="8" t="s">
        <v>39</v>
      </c>
      <c r="J1177" s="9">
        <v>1</v>
      </c>
      <c r="K1177" s="9">
        <v>368</v>
      </c>
      <c r="L1177" s="9">
        <v>2024</v>
      </c>
      <c r="M1177" s="8" t="s">
        <v>7515</v>
      </c>
      <c r="N1177" s="8" t="s">
        <v>41</v>
      </c>
      <c r="O1177" s="8" t="s">
        <v>227</v>
      </c>
      <c r="P1177" s="6" t="s">
        <v>43</v>
      </c>
      <c r="Q1177" s="8" t="s">
        <v>44</v>
      </c>
      <c r="R1177" s="10" t="s">
        <v>294</v>
      </c>
      <c r="S1177" s="11" t="s">
        <v>1663</v>
      </c>
      <c r="T1177" s="6"/>
      <c r="U1177" s="28" t="str">
        <f>HYPERLINK("https://media.infra-m.ru/2126/2126608/cover/2126608.jpg", "Обложка")</f>
        <v>Обложка</v>
      </c>
      <c r="V1177" s="28" t="str">
        <f>HYPERLINK("https://znanium.ru/catalog/product/1971873", "Ознакомиться")</f>
        <v>Ознакомиться</v>
      </c>
      <c r="W1177" s="8" t="s">
        <v>287</v>
      </c>
      <c r="X1177" s="6"/>
      <c r="Y1177" s="6"/>
      <c r="Z1177" s="6"/>
      <c r="AA1177" s="6" t="s">
        <v>3123</v>
      </c>
    </row>
    <row r="1178" spans="1:27" s="4" customFormat="1" ht="51.95" customHeight="1">
      <c r="A1178" s="5">
        <v>0</v>
      </c>
      <c r="B1178" s="6" t="s">
        <v>7516</v>
      </c>
      <c r="C1178" s="7">
        <v>2044</v>
      </c>
      <c r="D1178" s="8" t="s">
        <v>7517</v>
      </c>
      <c r="E1178" s="8" t="s">
        <v>7518</v>
      </c>
      <c r="F1178" s="8" t="s">
        <v>7519</v>
      </c>
      <c r="G1178" s="6" t="s">
        <v>37</v>
      </c>
      <c r="H1178" s="6" t="s">
        <v>283</v>
      </c>
      <c r="I1178" s="8" t="s">
        <v>39</v>
      </c>
      <c r="J1178" s="9">
        <v>1</v>
      </c>
      <c r="K1178" s="9">
        <v>544</v>
      </c>
      <c r="L1178" s="9">
        <v>2023</v>
      </c>
      <c r="M1178" s="8" t="s">
        <v>7520</v>
      </c>
      <c r="N1178" s="8" t="s">
        <v>41</v>
      </c>
      <c r="O1178" s="8" t="s">
        <v>209</v>
      </c>
      <c r="P1178" s="6" t="s">
        <v>70</v>
      </c>
      <c r="Q1178" s="8" t="s">
        <v>44</v>
      </c>
      <c r="R1178" s="10" t="s">
        <v>7521</v>
      </c>
      <c r="S1178" s="11" t="s">
        <v>7522</v>
      </c>
      <c r="T1178" s="6"/>
      <c r="U1178" s="28" t="str">
        <f>HYPERLINK("https://media.infra-m.ru/2021/2021446/cover/2021446.jpg", "Обложка")</f>
        <v>Обложка</v>
      </c>
      <c r="V1178" s="28" t="str">
        <f>HYPERLINK("https://znanium.ru/catalog/product/961720", "Ознакомиться")</f>
        <v>Ознакомиться</v>
      </c>
      <c r="W1178" s="8" t="s">
        <v>3347</v>
      </c>
      <c r="X1178" s="6"/>
      <c r="Y1178" s="6"/>
      <c r="Z1178" s="6" t="s">
        <v>48</v>
      </c>
      <c r="AA1178" s="6" t="s">
        <v>524</v>
      </c>
    </row>
    <row r="1179" spans="1:27" s="4" customFormat="1" ht="51.95" customHeight="1">
      <c r="A1179" s="5">
        <v>0</v>
      </c>
      <c r="B1179" s="6" t="s">
        <v>7523</v>
      </c>
      <c r="C1179" s="7">
        <v>1780</v>
      </c>
      <c r="D1179" s="8" t="s">
        <v>7524</v>
      </c>
      <c r="E1179" s="8" t="s">
        <v>7525</v>
      </c>
      <c r="F1179" s="8" t="s">
        <v>7526</v>
      </c>
      <c r="G1179" s="6" t="s">
        <v>66</v>
      </c>
      <c r="H1179" s="6" t="s">
        <v>38</v>
      </c>
      <c r="I1179" s="8" t="s">
        <v>39</v>
      </c>
      <c r="J1179" s="9">
        <v>1</v>
      </c>
      <c r="K1179" s="9">
        <v>383</v>
      </c>
      <c r="L1179" s="9">
        <v>2024</v>
      </c>
      <c r="M1179" s="8" t="s">
        <v>7527</v>
      </c>
      <c r="N1179" s="8" t="s">
        <v>41</v>
      </c>
      <c r="O1179" s="8" t="s">
        <v>209</v>
      </c>
      <c r="P1179" s="6" t="s">
        <v>70</v>
      </c>
      <c r="Q1179" s="8" t="s">
        <v>44</v>
      </c>
      <c r="R1179" s="10" t="s">
        <v>7528</v>
      </c>
      <c r="S1179" s="11" t="s">
        <v>7529</v>
      </c>
      <c r="T1179" s="6"/>
      <c r="U1179" s="28" t="str">
        <f>HYPERLINK("https://media.infra-m.ru/2053/2053251/cover/2053251.jpg", "Обложка")</f>
        <v>Обложка</v>
      </c>
      <c r="V1179" s="28" t="str">
        <f>HYPERLINK("https://znanium.ru/catalog/product/2053251", "Ознакомиться")</f>
        <v>Ознакомиться</v>
      </c>
      <c r="W1179" s="8" t="s">
        <v>3347</v>
      </c>
      <c r="X1179" s="6"/>
      <c r="Y1179" s="6"/>
      <c r="Z1179" s="6"/>
      <c r="AA1179" s="6" t="s">
        <v>74</v>
      </c>
    </row>
    <row r="1180" spans="1:27" s="4" customFormat="1" ht="51.95" customHeight="1">
      <c r="A1180" s="5">
        <v>0</v>
      </c>
      <c r="B1180" s="6" t="s">
        <v>7530</v>
      </c>
      <c r="C1180" s="7">
        <v>2230</v>
      </c>
      <c r="D1180" s="8" t="s">
        <v>7531</v>
      </c>
      <c r="E1180" s="8" t="s">
        <v>7532</v>
      </c>
      <c r="F1180" s="8" t="s">
        <v>7533</v>
      </c>
      <c r="G1180" s="6" t="s">
        <v>37</v>
      </c>
      <c r="H1180" s="6" t="s">
        <v>38</v>
      </c>
      <c r="I1180" s="8" t="s">
        <v>56</v>
      </c>
      <c r="J1180" s="9">
        <v>1</v>
      </c>
      <c r="K1180" s="9">
        <v>495</v>
      </c>
      <c r="L1180" s="9">
        <v>2023</v>
      </c>
      <c r="M1180" s="8" t="s">
        <v>7534</v>
      </c>
      <c r="N1180" s="8" t="s">
        <v>41</v>
      </c>
      <c r="O1180" s="8" t="s">
        <v>160</v>
      </c>
      <c r="P1180" s="6" t="s">
        <v>43</v>
      </c>
      <c r="Q1180" s="8" t="s">
        <v>44</v>
      </c>
      <c r="R1180" s="10" t="s">
        <v>7535</v>
      </c>
      <c r="S1180" s="11" t="s">
        <v>260</v>
      </c>
      <c r="T1180" s="6"/>
      <c r="U1180" s="28" t="str">
        <f>HYPERLINK("https://media.infra-m.ru/1897/1897008/cover/1897008.jpg", "Обложка")</f>
        <v>Обложка</v>
      </c>
      <c r="V1180" s="28" t="str">
        <f>HYPERLINK("https://znanium.ru/catalog/product/1897008", "Ознакомиться")</f>
        <v>Ознакомиться</v>
      </c>
      <c r="W1180" s="8" t="s">
        <v>3220</v>
      </c>
      <c r="X1180" s="6"/>
      <c r="Y1180" s="6"/>
      <c r="Z1180" s="6"/>
      <c r="AA1180" s="6" t="s">
        <v>182</v>
      </c>
    </row>
    <row r="1181" spans="1:27" s="4" customFormat="1" ht="51.95" customHeight="1">
      <c r="A1181" s="5">
        <v>0</v>
      </c>
      <c r="B1181" s="6" t="s">
        <v>7536</v>
      </c>
      <c r="C1181" s="7">
        <v>1334.9</v>
      </c>
      <c r="D1181" s="8" t="s">
        <v>7537</v>
      </c>
      <c r="E1181" s="8" t="s">
        <v>7538</v>
      </c>
      <c r="F1181" s="8" t="s">
        <v>5936</v>
      </c>
      <c r="G1181" s="6" t="s">
        <v>37</v>
      </c>
      <c r="H1181" s="6" t="s">
        <v>38</v>
      </c>
      <c r="I1181" s="8" t="s">
        <v>56</v>
      </c>
      <c r="J1181" s="9">
        <v>1</v>
      </c>
      <c r="K1181" s="9">
        <v>352</v>
      </c>
      <c r="L1181" s="9">
        <v>2022</v>
      </c>
      <c r="M1181" s="8" t="s">
        <v>7539</v>
      </c>
      <c r="N1181" s="8" t="s">
        <v>41</v>
      </c>
      <c r="O1181" s="8" t="s">
        <v>160</v>
      </c>
      <c r="P1181" s="6" t="s">
        <v>70</v>
      </c>
      <c r="Q1181" s="8" t="s">
        <v>44</v>
      </c>
      <c r="R1181" s="10" t="s">
        <v>2384</v>
      </c>
      <c r="S1181" s="11" t="s">
        <v>7540</v>
      </c>
      <c r="T1181" s="6"/>
      <c r="U1181" s="28" t="str">
        <f>HYPERLINK("https://media.infra-m.ru/1851/1851446/cover/1851446.jpg", "Обложка")</f>
        <v>Обложка</v>
      </c>
      <c r="V1181" s="28" t="str">
        <f>HYPERLINK("https://znanium.ru/catalog/product/1069163", "Ознакомиться")</f>
        <v>Ознакомиться</v>
      </c>
      <c r="W1181" s="8" t="s">
        <v>163</v>
      </c>
      <c r="X1181" s="6"/>
      <c r="Y1181" s="6"/>
      <c r="Z1181" s="6"/>
      <c r="AA1181" s="6" t="s">
        <v>138</v>
      </c>
    </row>
    <row r="1182" spans="1:27" s="4" customFormat="1" ht="51.95" customHeight="1">
      <c r="A1182" s="5">
        <v>0</v>
      </c>
      <c r="B1182" s="6" t="s">
        <v>7541</v>
      </c>
      <c r="C1182" s="7">
        <v>1690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367</v>
      </c>
      <c r="L1182" s="9">
        <v>2024</v>
      </c>
      <c r="M1182" s="8" t="s">
        <v>7545</v>
      </c>
      <c r="N1182" s="8" t="s">
        <v>41</v>
      </c>
      <c r="O1182" s="8" t="s">
        <v>160</v>
      </c>
      <c r="P1182" s="6" t="s">
        <v>43</v>
      </c>
      <c r="Q1182" s="8" t="s">
        <v>44</v>
      </c>
      <c r="R1182" s="10" t="s">
        <v>3345</v>
      </c>
      <c r="S1182" s="11" t="s">
        <v>7546</v>
      </c>
      <c r="T1182" s="6"/>
      <c r="U1182" s="28" t="str">
        <f>HYPERLINK("https://media.infra-m.ru/2103/2103204/cover/2103204.jpg", "Обложка")</f>
        <v>Обложка</v>
      </c>
      <c r="V1182" s="28" t="str">
        <f>HYPERLINK("https://znanium.ru/catalog/product/2103204", "Ознакомиться")</f>
        <v>Ознакомиться</v>
      </c>
      <c r="W1182" s="8" t="s">
        <v>163</v>
      </c>
      <c r="X1182" s="6"/>
      <c r="Y1182" s="6"/>
      <c r="Z1182" s="6"/>
      <c r="AA1182" s="6" t="s">
        <v>1957</v>
      </c>
    </row>
    <row r="1183" spans="1:27" s="4" customFormat="1" ht="51.95" customHeight="1">
      <c r="A1183" s="5">
        <v>0</v>
      </c>
      <c r="B1183" s="6" t="s">
        <v>7547</v>
      </c>
      <c r="C1183" s="7">
        <v>1904</v>
      </c>
      <c r="D1183" s="8" t="s">
        <v>7548</v>
      </c>
      <c r="E1183" s="8" t="s">
        <v>7549</v>
      </c>
      <c r="F1183" s="8" t="s">
        <v>5936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405</v>
      </c>
      <c r="L1183" s="9">
        <v>2024</v>
      </c>
      <c r="M1183" s="8" t="s">
        <v>7550</v>
      </c>
      <c r="N1183" s="8" t="s">
        <v>41</v>
      </c>
      <c r="O1183" s="8" t="s">
        <v>178</v>
      </c>
      <c r="P1183" s="6" t="s">
        <v>70</v>
      </c>
      <c r="Q1183" s="8" t="s">
        <v>44</v>
      </c>
      <c r="R1183" s="10" t="s">
        <v>7551</v>
      </c>
      <c r="S1183" s="11" t="s">
        <v>72</v>
      </c>
      <c r="T1183" s="6"/>
      <c r="U1183" s="28" t="str">
        <f>HYPERLINK("https://media.infra-m.ru/2144/2144300/cover/2144300.jpg", "Обложка")</f>
        <v>Обложка</v>
      </c>
      <c r="V1183" s="28" t="str">
        <f>HYPERLINK("https://znanium.ru/catalog/product/1922318", "Ознакомиться")</f>
        <v>Ознакомиться</v>
      </c>
      <c r="W1183" s="8" t="s">
        <v>163</v>
      </c>
      <c r="X1183" s="6"/>
      <c r="Y1183" s="6"/>
      <c r="Z1183" s="6"/>
      <c r="AA1183" s="6" t="s">
        <v>2222</v>
      </c>
    </row>
    <row r="1184" spans="1:27" s="4" customFormat="1" ht="51.95" customHeight="1">
      <c r="A1184" s="5">
        <v>0</v>
      </c>
      <c r="B1184" s="6" t="s">
        <v>7552</v>
      </c>
      <c r="C1184" s="7">
        <v>1544</v>
      </c>
      <c r="D1184" s="8" t="s">
        <v>7553</v>
      </c>
      <c r="E1184" s="8" t="s">
        <v>7554</v>
      </c>
      <c r="F1184" s="8" t="s">
        <v>3394</v>
      </c>
      <c r="G1184" s="6" t="s">
        <v>37</v>
      </c>
      <c r="H1184" s="6" t="s">
        <v>79</v>
      </c>
      <c r="I1184" s="8" t="s">
        <v>39</v>
      </c>
      <c r="J1184" s="9">
        <v>1</v>
      </c>
      <c r="K1184" s="9">
        <v>328</v>
      </c>
      <c r="L1184" s="9">
        <v>2024</v>
      </c>
      <c r="M1184" s="8" t="s">
        <v>7555</v>
      </c>
      <c r="N1184" s="8" t="s">
        <v>41</v>
      </c>
      <c r="O1184" s="8" t="s">
        <v>160</v>
      </c>
      <c r="P1184" s="6" t="s">
        <v>43</v>
      </c>
      <c r="Q1184" s="8" t="s">
        <v>44</v>
      </c>
      <c r="R1184" s="10" t="s">
        <v>7556</v>
      </c>
      <c r="S1184" s="11" t="s">
        <v>7557</v>
      </c>
      <c r="T1184" s="6"/>
      <c r="U1184" s="28" t="str">
        <f>HYPERLINK("https://media.infra-m.ru/2103/2103208/cover/2103208.jpg", "Обложка")</f>
        <v>Обложка</v>
      </c>
      <c r="V1184" s="28" t="str">
        <f>HYPERLINK("https://znanium.ru/catalog/product/1905614", "Ознакомиться")</f>
        <v>Ознакомиться</v>
      </c>
      <c r="W1184" s="8" t="s">
        <v>163</v>
      </c>
      <c r="X1184" s="6"/>
      <c r="Y1184" s="6"/>
      <c r="Z1184" s="6" t="s">
        <v>48</v>
      </c>
      <c r="AA1184" s="6" t="s">
        <v>348</v>
      </c>
    </row>
    <row r="1185" spans="1:27" s="4" customFormat="1" ht="51.95" customHeight="1">
      <c r="A1185" s="5">
        <v>0</v>
      </c>
      <c r="B1185" s="6" t="s">
        <v>7558</v>
      </c>
      <c r="C1185" s="7">
        <v>1614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357</v>
      </c>
      <c r="L1185" s="9">
        <v>2023</v>
      </c>
      <c r="M1185" s="8" t="s">
        <v>7562</v>
      </c>
      <c r="N1185" s="8" t="s">
        <v>41</v>
      </c>
      <c r="O1185" s="8" t="s">
        <v>160</v>
      </c>
      <c r="P1185" s="6" t="s">
        <v>70</v>
      </c>
      <c r="Q1185" s="8" t="s">
        <v>44</v>
      </c>
      <c r="R1185" s="10" t="s">
        <v>7563</v>
      </c>
      <c r="S1185" s="11" t="s">
        <v>1937</v>
      </c>
      <c r="T1185" s="6"/>
      <c r="U1185" s="28" t="str">
        <f>HYPERLINK("https://media.infra-m.ru/1913/1913646/cover/1913646.jpg", "Обложка")</f>
        <v>Обложка</v>
      </c>
      <c r="V1185" s="28" t="str">
        <f>HYPERLINK("https://znanium.ru/catalog/product/1657587", "Ознакомиться")</f>
        <v>Ознакомиться</v>
      </c>
      <c r="W1185" s="8" t="s">
        <v>555</v>
      </c>
      <c r="X1185" s="6"/>
      <c r="Y1185" s="6" t="s">
        <v>30</v>
      </c>
      <c r="Z1185" s="6" t="s">
        <v>48</v>
      </c>
      <c r="AA1185" s="6" t="s">
        <v>94</v>
      </c>
    </row>
    <row r="1186" spans="1:27" s="4" customFormat="1" ht="51.95" customHeight="1">
      <c r="A1186" s="5">
        <v>0</v>
      </c>
      <c r="B1186" s="6" t="s">
        <v>7564</v>
      </c>
      <c r="C1186" s="7">
        <v>1820</v>
      </c>
      <c r="D1186" s="8" t="s">
        <v>7565</v>
      </c>
      <c r="E1186" s="8" t="s">
        <v>7566</v>
      </c>
      <c r="F1186" s="8" t="s">
        <v>7190</v>
      </c>
      <c r="G1186" s="6" t="s">
        <v>66</v>
      </c>
      <c r="H1186" s="6" t="s">
        <v>38</v>
      </c>
      <c r="I1186" s="8" t="s">
        <v>39</v>
      </c>
      <c r="J1186" s="9">
        <v>1</v>
      </c>
      <c r="K1186" s="9">
        <v>480</v>
      </c>
      <c r="L1186" s="9">
        <v>2022</v>
      </c>
      <c r="M1186" s="8" t="s">
        <v>7567</v>
      </c>
      <c r="N1186" s="8" t="s">
        <v>41</v>
      </c>
      <c r="O1186" s="8" t="s">
        <v>160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HYPERLINK("https://media.infra-m.ru/1819/1819500/cover/1819500.jpg", "Обложка")</f>
        <v>Обложка</v>
      </c>
      <c r="V1186" s="28" t="str">
        <f>HYPERLINK("https://znanium.ru/catalog/product/1819500", "Ознакомиться")</f>
        <v>Ознакомиться</v>
      </c>
      <c r="W1186" s="8" t="s">
        <v>253</v>
      </c>
      <c r="X1186" s="6"/>
      <c r="Y1186" s="6"/>
      <c r="Z1186" s="6"/>
      <c r="AA1186" s="6" t="s">
        <v>237</v>
      </c>
    </row>
    <row r="1187" spans="1:27" s="4" customFormat="1" ht="51.95" customHeight="1">
      <c r="A1187" s="5">
        <v>0</v>
      </c>
      <c r="B1187" s="6" t="s">
        <v>7569</v>
      </c>
      <c r="C1187" s="7">
        <v>1270</v>
      </c>
      <c r="D1187" s="8" t="s">
        <v>7570</v>
      </c>
      <c r="E1187" s="8" t="s">
        <v>7571</v>
      </c>
      <c r="F1187" s="8" t="s">
        <v>7572</v>
      </c>
      <c r="G1187" s="6" t="s">
        <v>66</v>
      </c>
      <c r="H1187" s="6" t="s">
        <v>79</v>
      </c>
      <c r="I1187" s="8" t="s">
        <v>39</v>
      </c>
      <c r="J1187" s="9">
        <v>1</v>
      </c>
      <c r="K1187" s="9">
        <v>267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HYPERLINK("https://media.infra-m.ru/2131/2131870/cover/2131870.jpg", "Обложка")</f>
        <v>Обложка</v>
      </c>
      <c r="V1187" s="28" t="str">
        <f>HYPERLINK("https://znanium.ru/catalog/product/2131870", "Ознакомиться")</f>
        <v>Ознакомиться</v>
      </c>
      <c r="W1187" s="8" t="s">
        <v>277</v>
      </c>
      <c r="X1187" s="6"/>
      <c r="Y1187" s="6"/>
      <c r="Z1187" s="6" t="s">
        <v>48</v>
      </c>
      <c r="AA1187" s="6" t="s">
        <v>94</v>
      </c>
    </row>
    <row r="1188" spans="1:27" s="4" customFormat="1" ht="51.95" customHeight="1">
      <c r="A1188" s="5">
        <v>0</v>
      </c>
      <c r="B1188" s="6" t="s">
        <v>7576</v>
      </c>
      <c r="C1188" s="7">
        <v>2100</v>
      </c>
      <c r="D1188" s="8" t="s">
        <v>7577</v>
      </c>
      <c r="E1188" s="8" t="s">
        <v>7578</v>
      </c>
      <c r="F1188" s="8" t="s">
        <v>7579</v>
      </c>
      <c r="G1188" s="6" t="s">
        <v>37</v>
      </c>
      <c r="H1188" s="6" t="s">
        <v>283</v>
      </c>
      <c r="I1188" s="8" t="s">
        <v>39</v>
      </c>
      <c r="J1188" s="9">
        <v>1</v>
      </c>
      <c r="K1188" s="9">
        <v>448</v>
      </c>
      <c r="L1188" s="9">
        <v>2024</v>
      </c>
      <c r="M1188" s="8" t="s">
        <v>7580</v>
      </c>
      <c r="N1188" s="8" t="s">
        <v>41</v>
      </c>
      <c r="O1188" s="8" t="s">
        <v>160</v>
      </c>
      <c r="P1188" s="6" t="s">
        <v>43</v>
      </c>
      <c r="Q1188" s="8" t="s">
        <v>44</v>
      </c>
      <c r="R1188" s="10" t="s">
        <v>7581</v>
      </c>
      <c r="S1188" s="11" t="s">
        <v>2838</v>
      </c>
      <c r="T1188" s="6"/>
      <c r="U1188" s="28" t="str">
        <f>HYPERLINK("https://media.infra-m.ru/2119/2119559/cover/2119559.jpg", "Обложка")</f>
        <v>Обложка</v>
      </c>
      <c r="V1188" s="28" t="str">
        <f>HYPERLINK("https://znanium.ru/catalog/product/2119559", "Ознакомиться")</f>
        <v>Ознакомиться</v>
      </c>
      <c r="W1188" s="8" t="s">
        <v>287</v>
      </c>
      <c r="X1188" s="6"/>
      <c r="Y1188" s="6" t="s">
        <v>30</v>
      </c>
      <c r="Z1188" s="6"/>
      <c r="AA1188" s="6" t="s">
        <v>103</v>
      </c>
    </row>
    <row r="1189" spans="1:27" s="4" customFormat="1" ht="51.95" customHeight="1">
      <c r="A1189" s="5">
        <v>0</v>
      </c>
      <c r="B1189" s="6" t="s">
        <v>7582</v>
      </c>
      <c r="C1189" s="7">
        <v>1354</v>
      </c>
      <c r="D1189" s="8" t="s">
        <v>7583</v>
      </c>
      <c r="E1189" s="8" t="s">
        <v>7584</v>
      </c>
      <c r="F1189" s="8" t="s">
        <v>7585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288</v>
      </c>
      <c r="L1189" s="9">
        <v>2024</v>
      </c>
      <c r="M1189" s="8" t="s">
        <v>7586</v>
      </c>
      <c r="N1189" s="8" t="s">
        <v>41</v>
      </c>
      <c r="O1189" s="8" t="s">
        <v>160</v>
      </c>
      <c r="P1189" s="6" t="s">
        <v>43</v>
      </c>
      <c r="Q1189" s="8" t="s">
        <v>44</v>
      </c>
      <c r="R1189" s="10" t="s">
        <v>7587</v>
      </c>
      <c r="S1189" s="11" t="s">
        <v>973</v>
      </c>
      <c r="T1189" s="6"/>
      <c r="U1189" s="28" t="str">
        <f>HYPERLINK("https://media.infra-m.ru/2142/2142577/cover/2142577.jpg", "Обложка")</f>
        <v>Обложка</v>
      </c>
      <c r="V1189" s="28" t="str">
        <f>HYPERLINK("https://znanium.ru/catalog/product/1949037", "Ознакомиться")</f>
        <v>Ознакомиться</v>
      </c>
      <c r="W1189" s="8" t="s">
        <v>163</v>
      </c>
      <c r="X1189" s="6"/>
      <c r="Y1189" s="6"/>
      <c r="Z1189" s="6"/>
      <c r="AA1189" s="6" t="s">
        <v>1552</v>
      </c>
    </row>
    <row r="1190" spans="1:27" s="4" customFormat="1" ht="51.95" customHeight="1">
      <c r="A1190" s="5">
        <v>0</v>
      </c>
      <c r="B1190" s="6" t="s">
        <v>7588</v>
      </c>
      <c r="C1190" s="7">
        <v>1130</v>
      </c>
      <c r="D1190" s="8" t="s">
        <v>7589</v>
      </c>
      <c r="E1190" s="8" t="s">
        <v>7590</v>
      </c>
      <c r="F1190" s="8" t="s">
        <v>5249</v>
      </c>
      <c r="G1190" s="6" t="s">
        <v>66</v>
      </c>
      <c r="H1190" s="6" t="s">
        <v>716</v>
      </c>
      <c r="I1190" s="8" t="s">
        <v>39</v>
      </c>
      <c r="J1190" s="9">
        <v>1</v>
      </c>
      <c r="K1190" s="9">
        <v>240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70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HYPERLINK("https://media.infra-m.ru/2135/2135608/cover/2135608.jpg", "Обложка")</f>
        <v>Обложка</v>
      </c>
      <c r="V1190" s="28" t="str">
        <f>HYPERLINK("https://znanium.ru/catalog/product/2135608", "Ознакомиться")</f>
        <v>Ознакомиться</v>
      </c>
      <c r="W1190" s="8" t="s">
        <v>2077</v>
      </c>
      <c r="X1190" s="6"/>
      <c r="Y1190" s="6" t="s">
        <v>30</v>
      </c>
      <c r="Z1190" s="6"/>
      <c r="AA1190" s="6" t="s">
        <v>671</v>
      </c>
    </row>
    <row r="1191" spans="1:27" s="4" customFormat="1" ht="51.95" customHeight="1">
      <c r="A1191" s="5">
        <v>0</v>
      </c>
      <c r="B1191" s="6" t="s">
        <v>7594</v>
      </c>
      <c r="C1191" s="7">
        <v>2342</v>
      </c>
      <c r="D1191" s="8" t="s">
        <v>7595</v>
      </c>
      <c r="E1191" s="8" t="s">
        <v>7596</v>
      </c>
      <c r="F1191" s="8" t="s">
        <v>7597</v>
      </c>
      <c r="G1191" s="6" t="s">
        <v>66</v>
      </c>
      <c r="H1191" s="6" t="s">
        <v>38</v>
      </c>
      <c r="I1191" s="8" t="s">
        <v>39</v>
      </c>
      <c r="J1191" s="9">
        <v>1</v>
      </c>
      <c r="K1191" s="9">
        <v>384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7551</v>
      </c>
      <c r="S1191" s="11" t="s">
        <v>3389</v>
      </c>
      <c r="T1191" s="6"/>
      <c r="U1191" s="28" t="str">
        <f>HYPERLINK("https://media.infra-m.ru/2145/2145820/cover/2145820.jpg", "Обложка")</f>
        <v>Обложка</v>
      </c>
      <c r="V1191" s="28" t="str">
        <f>HYPERLINK("https://znanium.ru/catalog/product/2145820", "Ознакомиться")</f>
        <v>Ознакомиться</v>
      </c>
      <c r="W1191" s="8" t="s">
        <v>1779</v>
      </c>
      <c r="X1191" s="6"/>
      <c r="Y1191" s="6"/>
      <c r="Z1191" s="6" t="s">
        <v>48</v>
      </c>
      <c r="AA1191" s="6" t="s">
        <v>656</v>
      </c>
    </row>
    <row r="1192" spans="1:27" s="4" customFormat="1" ht="51.95" customHeight="1">
      <c r="A1192" s="5">
        <v>0</v>
      </c>
      <c r="B1192" s="6" t="s">
        <v>7599</v>
      </c>
      <c r="C1192" s="7">
        <v>1250</v>
      </c>
      <c r="D1192" s="8" t="s">
        <v>7600</v>
      </c>
      <c r="E1192" s="8" t="s">
        <v>7601</v>
      </c>
      <c r="F1192" s="8" t="s">
        <v>6147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271</v>
      </c>
      <c r="L1192" s="9">
        <v>2024</v>
      </c>
      <c r="M1192" s="8" t="s">
        <v>7602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6000</v>
      </c>
      <c r="S1192" s="11" t="s">
        <v>260</v>
      </c>
      <c r="T1192" s="6"/>
      <c r="U1192" s="28" t="str">
        <f>HYPERLINK("https://media.infra-m.ru/2102/2102664/cover/2102664.jpg", "Обложка")</f>
        <v>Обложка</v>
      </c>
      <c r="V1192" s="28" t="str">
        <f>HYPERLINK("https://znanium.ru/catalog/product/2102664", "Ознакомиться")</f>
        <v>Ознакомиться</v>
      </c>
      <c r="W1192" s="8" t="s">
        <v>261</v>
      </c>
      <c r="X1192" s="6"/>
      <c r="Y1192" s="6"/>
      <c r="Z1192" s="6"/>
      <c r="AA1192" s="6" t="s">
        <v>1780</v>
      </c>
    </row>
    <row r="1193" spans="1:27" s="4" customFormat="1" ht="51.95" customHeight="1">
      <c r="A1193" s="5">
        <v>0</v>
      </c>
      <c r="B1193" s="6" t="s">
        <v>7603</v>
      </c>
      <c r="C1193" s="13">
        <v>970</v>
      </c>
      <c r="D1193" s="8" t="s">
        <v>7604</v>
      </c>
      <c r="E1193" s="8" t="s">
        <v>7605</v>
      </c>
      <c r="F1193" s="8" t="s">
        <v>3511</v>
      </c>
      <c r="G1193" s="6" t="s">
        <v>66</v>
      </c>
      <c r="H1193" s="6" t="s">
        <v>79</v>
      </c>
      <c r="I1193" s="8" t="s">
        <v>39</v>
      </c>
      <c r="J1193" s="9">
        <v>1</v>
      </c>
      <c r="K1193" s="9">
        <v>204</v>
      </c>
      <c r="L1193" s="9">
        <v>2024</v>
      </c>
      <c r="M1193" s="8" t="s">
        <v>7606</v>
      </c>
      <c r="N1193" s="8" t="s">
        <v>41</v>
      </c>
      <c r="O1193" s="8" t="s">
        <v>178</v>
      </c>
      <c r="P1193" s="6" t="s">
        <v>70</v>
      </c>
      <c r="Q1193" s="8" t="s">
        <v>44</v>
      </c>
      <c r="R1193" s="10" t="s">
        <v>7607</v>
      </c>
      <c r="S1193" s="11" t="s">
        <v>7608</v>
      </c>
      <c r="T1193" s="6" t="s">
        <v>110</v>
      </c>
      <c r="U1193" s="28" t="str">
        <f>HYPERLINK("https://media.infra-m.ru/2122/2122965/cover/2122965.jpg", "Обложка")</f>
        <v>Обложка</v>
      </c>
      <c r="V1193" s="28" t="str">
        <f>HYPERLINK("https://znanium.ru/catalog/product/2122965", "Ознакомиться")</f>
        <v>Ознакомиться</v>
      </c>
      <c r="W1193" s="8"/>
      <c r="X1193" s="6"/>
      <c r="Y1193" s="6" t="s">
        <v>30</v>
      </c>
      <c r="Z1193" s="6"/>
      <c r="AA1193" s="6" t="s">
        <v>182</v>
      </c>
    </row>
    <row r="1194" spans="1:27" s="4" customFormat="1" ht="42" customHeight="1">
      <c r="A1194" s="5">
        <v>0</v>
      </c>
      <c r="B1194" s="6" t="s">
        <v>7609</v>
      </c>
      <c r="C1194" s="13">
        <v>800</v>
      </c>
      <c r="D1194" s="8" t="s">
        <v>7610</v>
      </c>
      <c r="E1194" s="8" t="s">
        <v>7611</v>
      </c>
      <c r="F1194" s="8" t="s">
        <v>7612</v>
      </c>
      <c r="G1194" s="6" t="s">
        <v>37</v>
      </c>
      <c r="H1194" s="6" t="s">
        <v>79</v>
      </c>
      <c r="I1194" s="8" t="s">
        <v>39</v>
      </c>
      <c r="J1194" s="9">
        <v>1</v>
      </c>
      <c r="K1194" s="9">
        <v>161</v>
      </c>
      <c r="L1194" s="9">
        <v>2024</v>
      </c>
      <c r="M1194" s="8" t="s">
        <v>7613</v>
      </c>
      <c r="N1194" s="8" t="s">
        <v>68</v>
      </c>
      <c r="O1194" s="8" t="s">
        <v>2754</v>
      </c>
      <c r="P1194" s="6" t="s">
        <v>70</v>
      </c>
      <c r="Q1194" s="8" t="s">
        <v>44</v>
      </c>
      <c r="R1194" s="10" t="s">
        <v>7614</v>
      </c>
      <c r="S1194" s="11"/>
      <c r="T1194" s="6"/>
      <c r="U1194" s="28" t="str">
        <f>HYPERLINK("https://media.infra-m.ru/1876/1876531/cover/1876531.jpg", "Обложка")</f>
        <v>Обложка</v>
      </c>
      <c r="V1194" s="28" t="str">
        <f>HYPERLINK("https://znanium.ru/catalog/product/1960946", "Ознакомиться")</f>
        <v>Ознакомиться</v>
      </c>
      <c r="W1194" s="8" t="s">
        <v>6896</v>
      </c>
      <c r="X1194" s="6" t="s">
        <v>635</v>
      </c>
      <c r="Y1194" s="6"/>
      <c r="Z1194" s="6"/>
      <c r="AA1194" s="6" t="s">
        <v>49</v>
      </c>
    </row>
    <row r="1195" spans="1:27" s="4" customFormat="1" ht="51.95" customHeight="1">
      <c r="A1195" s="5">
        <v>0</v>
      </c>
      <c r="B1195" s="6" t="s">
        <v>7615</v>
      </c>
      <c r="C1195" s="13">
        <v>790</v>
      </c>
      <c r="D1195" s="8" t="s">
        <v>7616</v>
      </c>
      <c r="E1195" s="8" t="s">
        <v>7617</v>
      </c>
      <c r="F1195" s="8" t="s">
        <v>7618</v>
      </c>
      <c r="G1195" s="6" t="s">
        <v>54</v>
      </c>
      <c r="H1195" s="6" t="s">
        <v>283</v>
      </c>
      <c r="I1195" s="8" t="s">
        <v>39</v>
      </c>
      <c r="J1195" s="9">
        <v>1</v>
      </c>
      <c r="K1195" s="9">
        <v>176</v>
      </c>
      <c r="L1195" s="9">
        <v>2020</v>
      </c>
      <c r="M1195" s="8" t="s">
        <v>7619</v>
      </c>
      <c r="N1195" s="8" t="s">
        <v>118</v>
      </c>
      <c r="O1195" s="8" t="s">
        <v>119</v>
      </c>
      <c r="P1195" s="6" t="s">
        <v>70</v>
      </c>
      <c r="Q1195" s="8" t="s">
        <v>44</v>
      </c>
      <c r="R1195" s="10" t="s">
        <v>7614</v>
      </c>
      <c r="S1195" s="11" t="s">
        <v>7620</v>
      </c>
      <c r="T1195" s="6"/>
      <c r="U1195" s="28" t="str">
        <f>HYPERLINK("https://media.infra-m.ru/1960/1960946/cover/1960946.jpg", "Обложка")</f>
        <v>Обложка</v>
      </c>
      <c r="V1195" s="28" t="str">
        <f>HYPERLINK("https://znanium.ru/catalog/product/1960946", "Ознакомиться")</f>
        <v>Ознакомиться</v>
      </c>
      <c r="W1195" s="8" t="s">
        <v>7621</v>
      </c>
      <c r="X1195" s="6"/>
      <c r="Y1195" s="6"/>
      <c r="Z1195" s="6"/>
      <c r="AA1195" s="6" t="s">
        <v>221</v>
      </c>
    </row>
    <row r="1196" spans="1:27" s="4" customFormat="1" ht="51.95" customHeight="1">
      <c r="A1196" s="5">
        <v>0</v>
      </c>
      <c r="B1196" s="6" t="s">
        <v>7622</v>
      </c>
      <c r="C1196" s="13">
        <v>540</v>
      </c>
      <c r="D1196" s="8" t="s">
        <v>7623</v>
      </c>
      <c r="E1196" s="8" t="s">
        <v>7624</v>
      </c>
      <c r="F1196" s="8" t="s">
        <v>7625</v>
      </c>
      <c r="G1196" s="6" t="s">
        <v>37</v>
      </c>
      <c r="H1196" s="6" t="s">
        <v>79</v>
      </c>
      <c r="I1196" s="8" t="s">
        <v>39</v>
      </c>
      <c r="J1196" s="9">
        <v>1</v>
      </c>
      <c r="K1196" s="9">
        <v>158</v>
      </c>
      <c r="L1196" s="9">
        <v>2020</v>
      </c>
      <c r="M1196" s="8" t="s">
        <v>7626</v>
      </c>
      <c r="N1196" s="8" t="s">
        <v>68</v>
      </c>
      <c r="O1196" s="8" t="s">
        <v>2754</v>
      </c>
      <c r="P1196" s="6" t="s">
        <v>43</v>
      </c>
      <c r="Q1196" s="8" t="s">
        <v>44</v>
      </c>
      <c r="R1196" s="10" t="s">
        <v>7627</v>
      </c>
      <c r="S1196" s="11" t="s">
        <v>7628</v>
      </c>
      <c r="T1196" s="6"/>
      <c r="U1196" s="28" t="str">
        <f>HYPERLINK("https://media.infra-m.ru/1087/1087061/cover/1087061.jpg", "Обложка")</f>
        <v>Обложка</v>
      </c>
      <c r="V1196" s="28" t="str">
        <f>HYPERLINK("https://znanium.ru/catalog/product/1087061", "Ознакомиться")</f>
        <v>Ознакомиться</v>
      </c>
      <c r="W1196" s="8"/>
      <c r="X1196" s="6"/>
      <c r="Y1196" s="6"/>
      <c r="Z1196" s="6" t="s">
        <v>48</v>
      </c>
      <c r="AA1196" s="6" t="s">
        <v>656</v>
      </c>
    </row>
    <row r="1197" spans="1:27" s="4" customFormat="1" ht="51.95" customHeight="1">
      <c r="A1197" s="5">
        <v>0</v>
      </c>
      <c r="B1197" s="6" t="s">
        <v>7629</v>
      </c>
      <c r="C1197" s="13">
        <v>600</v>
      </c>
      <c r="D1197" s="8" t="s">
        <v>7630</v>
      </c>
      <c r="E1197" s="8" t="s">
        <v>7631</v>
      </c>
      <c r="F1197" s="8" t="s">
        <v>7632</v>
      </c>
      <c r="G1197" s="6" t="s">
        <v>37</v>
      </c>
      <c r="H1197" s="6" t="s">
        <v>38</v>
      </c>
      <c r="I1197" s="8" t="s">
        <v>39</v>
      </c>
      <c r="J1197" s="9">
        <v>1</v>
      </c>
      <c r="K1197" s="9">
        <v>176</v>
      </c>
      <c r="L1197" s="9">
        <v>2020</v>
      </c>
      <c r="M1197" s="8" t="s">
        <v>7633</v>
      </c>
      <c r="N1197" s="8" t="s">
        <v>1171</v>
      </c>
      <c r="O1197" s="8" t="s">
        <v>1172</v>
      </c>
      <c r="P1197" s="6" t="s">
        <v>43</v>
      </c>
      <c r="Q1197" s="8" t="s">
        <v>44</v>
      </c>
      <c r="R1197" s="10" t="s">
        <v>7634</v>
      </c>
      <c r="S1197" s="11" t="s">
        <v>7635</v>
      </c>
      <c r="T1197" s="6"/>
      <c r="U1197" s="28" t="str">
        <f>HYPERLINK("https://media.infra-m.ru/1080/1080407/cover/1080407.jpg", "Обложка")</f>
        <v>Обложка</v>
      </c>
      <c r="V1197" s="28" t="str">
        <f>HYPERLINK("https://znanium.ru/catalog/product/1080407", "Ознакомиться")</f>
        <v>Ознакомиться</v>
      </c>
      <c r="W1197" s="8" t="s">
        <v>4349</v>
      </c>
      <c r="X1197" s="6"/>
      <c r="Y1197" s="6"/>
      <c r="Z1197" s="6" t="s">
        <v>48</v>
      </c>
      <c r="AA1197" s="6" t="s">
        <v>656</v>
      </c>
    </row>
    <row r="1198" spans="1:27" s="4" customFormat="1" ht="51.95" customHeight="1">
      <c r="A1198" s="5">
        <v>0</v>
      </c>
      <c r="B1198" s="6" t="s">
        <v>7636</v>
      </c>
      <c r="C1198" s="7">
        <v>1030</v>
      </c>
      <c r="D1198" s="8" t="s">
        <v>7637</v>
      </c>
      <c r="E1198" s="8" t="s">
        <v>7638</v>
      </c>
      <c r="F1198" s="8" t="s">
        <v>7639</v>
      </c>
      <c r="G1198" s="6" t="s">
        <v>66</v>
      </c>
      <c r="H1198" s="6" t="s">
        <v>79</v>
      </c>
      <c r="I1198" s="8" t="s">
        <v>39</v>
      </c>
      <c r="J1198" s="9">
        <v>1</v>
      </c>
      <c r="K1198" s="9">
        <v>216</v>
      </c>
      <c r="L1198" s="9">
        <v>2024</v>
      </c>
      <c r="M1198" s="8" t="s">
        <v>7640</v>
      </c>
      <c r="N1198" s="8" t="s">
        <v>41</v>
      </c>
      <c r="O1198" s="8" t="s">
        <v>42</v>
      </c>
      <c r="P1198" s="6" t="s">
        <v>43</v>
      </c>
      <c r="Q1198" s="8" t="s">
        <v>44</v>
      </c>
      <c r="R1198" s="10" t="s">
        <v>827</v>
      </c>
      <c r="S1198" s="11" t="s">
        <v>7641</v>
      </c>
      <c r="T1198" s="6" t="s">
        <v>110</v>
      </c>
      <c r="U1198" s="28" t="str">
        <f>HYPERLINK("https://media.infra-m.ru/2131/2131861/cover/2131861.jpg", "Обложка")</f>
        <v>Обложка</v>
      </c>
      <c r="V1198" s="28" t="str">
        <f>HYPERLINK("https://znanium.ru/catalog/product/2131861", "Ознакомиться")</f>
        <v>Ознакомиться</v>
      </c>
      <c r="W1198" s="8" t="s">
        <v>7642</v>
      </c>
      <c r="X1198" s="6"/>
      <c r="Y1198" s="6"/>
      <c r="Z1198" s="6" t="s">
        <v>687</v>
      </c>
      <c r="AA1198" s="6" t="s">
        <v>656</v>
      </c>
    </row>
    <row r="1199" spans="1:27" s="4" customFormat="1" ht="51.95" customHeight="1">
      <c r="A1199" s="5">
        <v>0</v>
      </c>
      <c r="B1199" s="6" t="s">
        <v>7643</v>
      </c>
      <c r="C1199" s="7">
        <v>1800</v>
      </c>
      <c r="D1199" s="8" t="s">
        <v>7644</v>
      </c>
      <c r="E1199" s="8" t="s">
        <v>7645</v>
      </c>
      <c r="F1199" s="8" t="s">
        <v>4510</v>
      </c>
      <c r="G1199" s="6" t="s">
        <v>66</v>
      </c>
      <c r="H1199" s="6" t="s">
        <v>38</v>
      </c>
      <c r="I1199" s="8" t="s">
        <v>39</v>
      </c>
      <c r="J1199" s="9">
        <v>1</v>
      </c>
      <c r="K1199" s="9">
        <v>399</v>
      </c>
      <c r="L1199" s="9">
        <v>2023</v>
      </c>
      <c r="M1199" s="8" t="s">
        <v>7646</v>
      </c>
      <c r="N1199" s="8" t="s">
        <v>41</v>
      </c>
      <c r="O1199" s="8" t="s">
        <v>42</v>
      </c>
      <c r="P1199" s="6" t="s">
        <v>43</v>
      </c>
      <c r="Q1199" s="8" t="s">
        <v>44</v>
      </c>
      <c r="R1199" s="10" t="s">
        <v>2123</v>
      </c>
      <c r="S1199" s="11" t="s">
        <v>1000</v>
      </c>
      <c r="T1199" s="6"/>
      <c r="U1199" s="28" t="str">
        <f>HYPERLINK("https://media.infra-m.ru/1941/1941740/cover/1941740.jpg", "Обложка")</f>
        <v>Обложка</v>
      </c>
      <c r="V1199" s="28" t="str">
        <f>HYPERLINK("https://znanium.ru/catalog/product/1941740", "Ознакомиться")</f>
        <v>Ознакомиться</v>
      </c>
      <c r="W1199" s="8" t="s">
        <v>710</v>
      </c>
      <c r="X1199" s="6"/>
      <c r="Y1199" s="6"/>
      <c r="Z1199" s="6"/>
      <c r="AA1199" s="6" t="s">
        <v>777</v>
      </c>
    </row>
    <row r="1200" spans="1:27" s="15" customFormat="1" ht="21.95" customHeight="1"/>
    <row r="1201" spans="1:5" ht="15.95" customHeight="1">
      <c r="A1201" s="25" t="s">
        <v>23</v>
      </c>
      <c r="B1201" s="25"/>
    </row>
    <row r="1202" spans="1:5" s="16" customFormat="1" ht="12.95" customHeight="1"/>
    <row r="1203" spans="1:5" s="16" customFormat="1" ht="12.95" customHeight="1">
      <c r="A1203" s="26" t="s">
        <v>7647</v>
      </c>
      <c r="B1203" s="26"/>
      <c r="C1203" s="26" t="s">
        <v>7648</v>
      </c>
      <c r="D1203" s="26"/>
      <c r="E1203" s="26"/>
    </row>
    <row r="1204" spans="1:5" s="16" customFormat="1" ht="12.95" customHeight="1">
      <c r="A1204" s="26" t="s">
        <v>7647</v>
      </c>
      <c r="B1204" s="26"/>
      <c r="C1204" s="26" t="s">
        <v>7648</v>
      </c>
      <c r="D1204" s="26"/>
      <c r="E1204" s="26"/>
    </row>
    <row r="1205" spans="1:5" s="16" customFormat="1" ht="12.95" customHeight="1">
      <c r="A1205" s="26" t="s">
        <v>4196</v>
      </c>
      <c r="B1205" s="26"/>
      <c r="C1205" s="26" t="s">
        <v>7649</v>
      </c>
      <c r="D1205" s="26"/>
      <c r="E1205" s="26"/>
    </row>
    <row r="1206" spans="1:5" s="16" customFormat="1" ht="12.95" customHeight="1">
      <c r="A1206" s="26" t="s">
        <v>7650</v>
      </c>
      <c r="B1206" s="26"/>
      <c r="C1206" s="26" t="s">
        <v>7651</v>
      </c>
      <c r="D1206" s="26"/>
      <c r="E1206" s="26"/>
    </row>
    <row r="1207" spans="1:5" s="16" customFormat="1" ht="12.95" customHeight="1">
      <c r="A1207" s="26" t="s">
        <v>7652</v>
      </c>
      <c r="B1207" s="26"/>
      <c r="C1207" s="26" t="s">
        <v>7653</v>
      </c>
      <c r="D1207" s="26"/>
      <c r="E1207" s="26"/>
    </row>
    <row r="1208" spans="1:5" s="16" customFormat="1" ht="12.95" customHeight="1">
      <c r="A1208" s="26" t="s">
        <v>7654</v>
      </c>
      <c r="B1208" s="26"/>
      <c r="C1208" s="26" t="s">
        <v>7655</v>
      </c>
      <c r="D1208" s="26"/>
      <c r="E1208" s="26"/>
    </row>
    <row r="1209" spans="1:5" s="16" customFormat="1" ht="12.95" customHeight="1">
      <c r="A1209" s="26" t="s">
        <v>7656</v>
      </c>
      <c r="B1209" s="26"/>
      <c r="C1209" s="26" t="s">
        <v>7657</v>
      </c>
      <c r="D1209" s="26"/>
      <c r="E1209" s="26"/>
    </row>
    <row r="1210" spans="1:5" s="16" customFormat="1" ht="12.95" customHeight="1">
      <c r="A1210" s="26" t="s">
        <v>7658</v>
      </c>
      <c r="B1210" s="26"/>
      <c r="C1210" s="26" t="s">
        <v>7649</v>
      </c>
      <c r="D1210" s="26"/>
      <c r="E1210" s="26"/>
    </row>
    <row r="1211" spans="1:5" s="16" customFormat="1" ht="12.95" customHeight="1">
      <c r="A1211" s="26" t="s">
        <v>3567</v>
      </c>
      <c r="B1211" s="26"/>
      <c r="C1211" s="26" t="s">
        <v>7651</v>
      </c>
      <c r="D1211" s="26"/>
      <c r="E1211" s="26"/>
    </row>
    <row r="1212" spans="1:5" s="16" customFormat="1" ht="12.95" customHeight="1">
      <c r="A1212" s="26" t="s">
        <v>4305</v>
      </c>
      <c r="B1212" s="26"/>
      <c r="C1212" s="26" t="s">
        <v>7659</v>
      </c>
      <c r="D1212" s="26"/>
      <c r="E1212" s="26"/>
    </row>
    <row r="1213" spans="1:5" s="16" customFormat="1" ht="12.95" customHeight="1">
      <c r="A1213" s="26" t="s">
        <v>7660</v>
      </c>
      <c r="B1213" s="26"/>
      <c r="C1213" s="26" t="s">
        <v>7653</v>
      </c>
      <c r="D1213" s="26"/>
      <c r="E1213" s="26"/>
    </row>
    <row r="1214" spans="1:5" s="16" customFormat="1" ht="12.95" customHeight="1">
      <c r="A1214" s="26" t="s">
        <v>2916</v>
      </c>
      <c r="B1214" s="26"/>
      <c r="C1214" s="26" t="s">
        <v>7661</v>
      </c>
      <c r="D1214" s="26"/>
      <c r="E1214" s="26"/>
    </row>
    <row r="1215" spans="1:5" s="16" customFormat="1" ht="12.95" customHeight="1">
      <c r="A1215" s="26" t="s">
        <v>4458</v>
      </c>
      <c r="B1215" s="26"/>
      <c r="C1215" s="26" t="s">
        <v>7662</v>
      </c>
      <c r="D1215" s="26"/>
      <c r="E1215" s="26"/>
    </row>
    <row r="1216" spans="1:5" s="16" customFormat="1" ht="12.95" customHeight="1">
      <c r="A1216" s="26" t="s">
        <v>2739</v>
      </c>
      <c r="B1216" s="26"/>
      <c r="C1216" s="26" t="s">
        <v>7663</v>
      </c>
      <c r="D1216" s="26"/>
      <c r="E1216" s="26"/>
    </row>
    <row r="1217" spans="1:5" s="16" customFormat="1" ht="12.95" customHeight="1">
      <c r="A1217" s="26" t="s">
        <v>747</v>
      </c>
      <c r="B1217" s="26"/>
      <c r="C1217" s="26" t="s">
        <v>7664</v>
      </c>
      <c r="D1217" s="26"/>
      <c r="E1217" s="26"/>
    </row>
    <row r="1218" spans="1:5" s="16" customFormat="1" ht="12.95" customHeight="1">
      <c r="A1218" s="26" t="s">
        <v>4738</v>
      </c>
      <c r="B1218" s="26"/>
      <c r="C1218" s="26" t="s">
        <v>7665</v>
      </c>
      <c r="D1218" s="26"/>
      <c r="E1218" s="26"/>
    </row>
    <row r="1219" spans="1:5" s="16" customFormat="1" ht="12.95" customHeight="1">
      <c r="A1219" s="26" t="s">
        <v>7666</v>
      </c>
      <c r="B1219" s="26"/>
      <c r="C1219" s="26" t="s">
        <v>7657</v>
      </c>
      <c r="D1219" s="26"/>
      <c r="E1219" s="26"/>
    </row>
    <row r="1220" spans="1:5" s="16" customFormat="1" ht="12.95" customHeight="1">
      <c r="A1220" s="26" t="s">
        <v>4939</v>
      </c>
      <c r="B1220" s="26"/>
      <c r="C1220" s="26" t="s">
        <v>7655</v>
      </c>
      <c r="D1220" s="26"/>
      <c r="E1220" s="26"/>
    </row>
    <row r="1221" spans="1:5" s="16" customFormat="1" ht="12.95" customHeight="1">
      <c r="A1221" s="26" t="s">
        <v>5005</v>
      </c>
      <c r="B1221" s="26"/>
      <c r="C1221" s="26" t="s">
        <v>7667</v>
      </c>
      <c r="D1221" s="26"/>
      <c r="E1221" s="26"/>
    </row>
    <row r="1222" spans="1:5" s="16" customFormat="1" ht="12.95" customHeight="1">
      <c r="A1222" s="26" t="s">
        <v>7668</v>
      </c>
      <c r="B1222" s="26"/>
      <c r="C1222" s="26" t="s">
        <v>7669</v>
      </c>
      <c r="D1222" s="26"/>
      <c r="E1222" s="26"/>
    </row>
    <row r="1223" spans="1:5" s="16" customFormat="1" ht="12.95" customHeight="1">
      <c r="A1223" s="26" t="s">
        <v>7670</v>
      </c>
      <c r="B1223" s="26"/>
      <c r="C1223" s="26" t="s">
        <v>7671</v>
      </c>
      <c r="D1223" s="26"/>
      <c r="E1223" s="26"/>
    </row>
    <row r="1224" spans="1:5" s="16" customFormat="1" ht="12.95" customHeight="1">
      <c r="A1224" s="26" t="s">
        <v>7672</v>
      </c>
      <c r="B1224" s="26"/>
      <c r="C1224" s="26" t="s">
        <v>7673</v>
      </c>
      <c r="D1224" s="26"/>
      <c r="E1224" s="26"/>
    </row>
    <row r="1225" spans="1:5" s="16" customFormat="1" ht="12.95" customHeight="1">
      <c r="A1225" s="26" t="s">
        <v>3758</v>
      </c>
      <c r="B1225" s="26"/>
      <c r="C1225" s="26" t="s">
        <v>7674</v>
      </c>
      <c r="D1225" s="26"/>
      <c r="E1225" s="26"/>
    </row>
    <row r="1226" spans="1:5" s="16" customFormat="1" ht="12.95" customHeight="1">
      <c r="A1226" s="26" t="s">
        <v>1318</v>
      </c>
      <c r="B1226" s="26"/>
      <c r="C1226" s="26" t="s">
        <v>7675</v>
      </c>
      <c r="D1226" s="26"/>
      <c r="E1226" s="26"/>
    </row>
    <row r="1227" spans="1:5" s="16" customFormat="1" ht="12.95" customHeight="1">
      <c r="A1227" s="26" t="s">
        <v>4068</v>
      </c>
      <c r="B1227" s="26"/>
      <c r="C1227" s="26" t="s">
        <v>7676</v>
      </c>
      <c r="D1227" s="26"/>
      <c r="E1227" s="26"/>
    </row>
    <row r="1228" spans="1:5" s="16" customFormat="1" ht="12.95" customHeight="1">
      <c r="A1228" s="26" t="s">
        <v>7677</v>
      </c>
      <c r="B1228" s="26"/>
      <c r="C1228" s="26" t="s">
        <v>7678</v>
      </c>
      <c r="D1228" s="26"/>
      <c r="E1228" s="26"/>
    </row>
    <row r="1229" spans="1:5" s="16" customFormat="1" ht="12.95" customHeight="1">
      <c r="A1229" s="26" t="s">
        <v>7679</v>
      </c>
      <c r="B1229" s="26"/>
      <c r="C1229" s="26" t="s">
        <v>7680</v>
      </c>
      <c r="D1229" s="26"/>
      <c r="E1229" s="26"/>
    </row>
    <row r="1230" spans="1:5" s="16" customFormat="1" ht="12.95" customHeight="1">
      <c r="A1230" s="26" t="s">
        <v>2605</v>
      </c>
      <c r="B1230" s="26"/>
      <c r="C1230" s="26" t="s">
        <v>7681</v>
      </c>
      <c r="D1230" s="26"/>
      <c r="E1230" s="26"/>
    </row>
    <row r="1231" spans="1:5" s="16" customFormat="1" ht="12.95" customHeight="1">
      <c r="A1231" s="26" t="s">
        <v>7682</v>
      </c>
      <c r="B1231" s="26"/>
      <c r="C1231" s="26" t="s">
        <v>7683</v>
      </c>
      <c r="D1231" s="26"/>
      <c r="E1231" s="26"/>
    </row>
    <row r="1232" spans="1:5" s="16" customFormat="1" ht="12.95" customHeight="1">
      <c r="A1232" s="26" t="s">
        <v>7198</v>
      </c>
      <c r="B1232" s="26"/>
      <c r="C1232" s="26" t="s">
        <v>7684</v>
      </c>
      <c r="D1232" s="26"/>
      <c r="E1232" s="26"/>
    </row>
    <row r="1233" spans="1:5" s="16" customFormat="1" ht="12.95" customHeight="1">
      <c r="A1233" s="26" t="s">
        <v>2651</v>
      </c>
      <c r="B1233" s="26"/>
      <c r="C1233" s="26" t="s">
        <v>7685</v>
      </c>
      <c r="D1233" s="26"/>
      <c r="E1233" s="26"/>
    </row>
    <row r="1234" spans="1:5" s="16" customFormat="1" ht="12.95" customHeight="1">
      <c r="A1234" s="26" t="s">
        <v>2844</v>
      </c>
      <c r="B1234" s="26"/>
      <c r="C1234" s="26" t="s">
        <v>7686</v>
      </c>
      <c r="D1234" s="26"/>
      <c r="E1234" s="26"/>
    </row>
    <row r="1235" spans="1:5" s="16" customFormat="1" ht="12.95" customHeight="1">
      <c r="A1235" s="26" t="s">
        <v>7687</v>
      </c>
      <c r="B1235" s="26"/>
      <c r="C1235" s="26" t="s">
        <v>7688</v>
      </c>
      <c r="D1235" s="26"/>
      <c r="E1235" s="26"/>
    </row>
    <row r="1236" spans="1:5" s="16" customFormat="1" ht="12.95" customHeight="1">
      <c r="A1236" s="26" t="s">
        <v>4209</v>
      </c>
      <c r="B1236" s="26"/>
      <c r="C1236" s="26" t="s">
        <v>7689</v>
      </c>
      <c r="D1236" s="26"/>
      <c r="E1236" s="26"/>
    </row>
    <row r="1237" spans="1:5" s="16" customFormat="1" ht="12.95" customHeight="1">
      <c r="A1237" s="26" t="s">
        <v>7690</v>
      </c>
      <c r="B1237" s="26"/>
      <c r="C1237" s="26" t="s">
        <v>7691</v>
      </c>
      <c r="D1237" s="26"/>
      <c r="E1237" s="26"/>
    </row>
    <row r="1238" spans="1:5" s="16" customFormat="1" ht="12.95" customHeight="1">
      <c r="A1238" s="26" t="s">
        <v>7692</v>
      </c>
      <c r="B1238" s="26"/>
      <c r="C1238" s="26" t="s">
        <v>7693</v>
      </c>
      <c r="D1238" s="26"/>
      <c r="E1238" s="26"/>
    </row>
    <row r="1239" spans="1:5" s="16" customFormat="1" ht="12.95" customHeight="1">
      <c r="A1239" s="26" t="s">
        <v>7694</v>
      </c>
      <c r="B1239" s="26"/>
      <c r="C1239" s="26" t="s">
        <v>7695</v>
      </c>
      <c r="D1239" s="26"/>
      <c r="E1239" s="26"/>
    </row>
    <row r="1240" spans="1:5" s="16" customFormat="1" ht="12.95" customHeight="1">
      <c r="A1240" s="26" t="s">
        <v>7696</v>
      </c>
      <c r="B1240" s="26"/>
      <c r="C1240" s="26" t="s">
        <v>7697</v>
      </c>
      <c r="D1240" s="26"/>
      <c r="E1240" s="26"/>
    </row>
    <row r="1241" spans="1:5" s="16" customFormat="1" ht="12.95" customHeight="1">
      <c r="A1241" s="26" t="s">
        <v>7698</v>
      </c>
      <c r="B1241" s="26"/>
      <c r="C1241" s="26" t="s">
        <v>7699</v>
      </c>
      <c r="D1241" s="26"/>
      <c r="E1241" s="26"/>
    </row>
    <row r="1242" spans="1:5" s="16" customFormat="1" ht="12.95" customHeight="1">
      <c r="A1242" s="26" t="s">
        <v>7700</v>
      </c>
      <c r="B1242" s="26"/>
      <c r="C1242" s="26" t="s">
        <v>7701</v>
      </c>
      <c r="D1242" s="26"/>
      <c r="E1242" s="26"/>
    </row>
    <row r="1243" spans="1:5" s="16" customFormat="1" ht="12.95" customHeight="1">
      <c r="A1243" s="26" t="s">
        <v>7702</v>
      </c>
      <c r="B1243" s="26"/>
      <c r="C1243" s="26" t="s">
        <v>7703</v>
      </c>
      <c r="D1243" s="26"/>
      <c r="E1243" s="26"/>
    </row>
    <row r="1244" spans="1:5" s="16" customFormat="1" ht="12.95" customHeight="1">
      <c r="A1244" s="26" t="s">
        <v>7704</v>
      </c>
      <c r="B1244" s="26"/>
      <c r="C1244" s="26" t="s">
        <v>7705</v>
      </c>
      <c r="D1244" s="26"/>
      <c r="E1244" s="26"/>
    </row>
    <row r="1245" spans="1:5" s="16" customFormat="1" ht="12.95" customHeight="1">
      <c r="A1245" s="26" t="s">
        <v>7706</v>
      </c>
      <c r="B1245" s="26"/>
      <c r="C1245" s="26" t="s">
        <v>7707</v>
      </c>
      <c r="D1245" s="26"/>
      <c r="E1245" s="26"/>
    </row>
    <row r="1246" spans="1:5" s="16" customFormat="1" ht="12.95" customHeight="1">
      <c r="A1246" s="26" t="s">
        <v>7708</v>
      </c>
      <c r="B1246" s="26"/>
      <c r="C1246" s="26" t="s">
        <v>7669</v>
      </c>
      <c r="D1246" s="26"/>
      <c r="E1246" s="26"/>
    </row>
    <row r="1247" spans="1:5" s="16" customFormat="1" ht="12.95" customHeight="1">
      <c r="A1247" s="26" t="s">
        <v>7709</v>
      </c>
      <c r="B1247" s="26"/>
      <c r="C1247" s="26" t="s">
        <v>7710</v>
      </c>
      <c r="D1247" s="26"/>
      <c r="E1247" s="26"/>
    </row>
    <row r="1248" spans="1:5" s="16" customFormat="1" ht="12.95" customHeight="1">
      <c r="A1248" s="26" t="s">
        <v>7711</v>
      </c>
      <c r="B1248" s="26"/>
      <c r="C1248" s="26" t="s">
        <v>7712</v>
      </c>
      <c r="D1248" s="26"/>
      <c r="E1248" s="26"/>
    </row>
    <row r="1249" spans="1:5" s="16" customFormat="1" ht="12.95" customHeight="1">
      <c r="A1249" s="26" t="s">
        <v>2149</v>
      </c>
      <c r="B1249" s="26"/>
      <c r="C1249" s="26" t="s">
        <v>7713</v>
      </c>
      <c r="D1249" s="26"/>
      <c r="E1249" s="26"/>
    </row>
    <row r="1250" spans="1:5" s="16" customFormat="1" ht="12.95" customHeight="1">
      <c r="A1250" s="26" t="s">
        <v>7714</v>
      </c>
      <c r="B1250" s="26"/>
      <c r="C1250" s="26" t="s">
        <v>7715</v>
      </c>
      <c r="D1250" s="26"/>
      <c r="E1250" s="26"/>
    </row>
    <row r="1251" spans="1:5" s="16" customFormat="1" ht="12.95" customHeight="1">
      <c r="A1251" s="26" t="s">
        <v>7716</v>
      </c>
      <c r="B1251" s="26"/>
      <c r="C1251" s="26" t="s">
        <v>7717</v>
      </c>
      <c r="D1251" s="26"/>
      <c r="E1251" s="26"/>
    </row>
    <row r="1252" spans="1:5" s="16" customFormat="1" ht="12.95" customHeight="1">
      <c r="A1252" s="26" t="s">
        <v>7718</v>
      </c>
      <c r="B1252" s="26"/>
      <c r="C1252" s="26" t="s">
        <v>7719</v>
      </c>
      <c r="D1252" s="26"/>
      <c r="E1252" s="26"/>
    </row>
    <row r="1253" spans="1:5" s="16" customFormat="1" ht="12.95" customHeight="1">
      <c r="A1253" s="26" t="s">
        <v>7720</v>
      </c>
      <c r="B1253" s="26"/>
      <c r="C1253" s="26" t="s">
        <v>7721</v>
      </c>
      <c r="D1253" s="26"/>
      <c r="E1253" s="26"/>
    </row>
    <row r="1254" spans="1:5" s="16" customFormat="1" ht="12.95" customHeight="1">
      <c r="A1254" s="26" t="s">
        <v>7722</v>
      </c>
      <c r="B1254" s="26"/>
      <c r="C1254" s="26" t="s">
        <v>7723</v>
      </c>
      <c r="D1254" s="26"/>
      <c r="E1254" s="26"/>
    </row>
    <row r="1255" spans="1:5" s="16" customFormat="1" ht="12.95" customHeight="1">
      <c r="A1255" s="26" t="s">
        <v>7724</v>
      </c>
      <c r="B1255" s="26"/>
      <c r="C1255" s="26" t="s">
        <v>7725</v>
      </c>
      <c r="D1255" s="26"/>
      <c r="E1255" s="26"/>
    </row>
    <row r="1256" spans="1:5" s="16" customFormat="1" ht="12.95" customHeight="1">
      <c r="A1256" s="26" t="s">
        <v>7726</v>
      </c>
      <c r="B1256" s="26"/>
      <c r="C1256" s="26" t="s">
        <v>7727</v>
      </c>
      <c r="D1256" s="26"/>
      <c r="E1256" s="26"/>
    </row>
    <row r="1257" spans="1:5" s="16" customFormat="1" ht="12.95" customHeight="1">
      <c r="A1257" s="26" t="s">
        <v>7728</v>
      </c>
      <c r="B1257" s="26"/>
      <c r="C1257" s="26" t="s">
        <v>7729</v>
      </c>
      <c r="D1257" s="26"/>
      <c r="E1257" s="26"/>
    </row>
    <row r="1258" spans="1:5" s="16" customFormat="1" ht="12.95" customHeight="1">
      <c r="A1258" s="26" t="s">
        <v>7730</v>
      </c>
      <c r="B1258" s="26"/>
      <c r="C1258" s="26" t="s">
        <v>7731</v>
      </c>
      <c r="D1258" s="26"/>
      <c r="E1258" s="26"/>
    </row>
    <row r="1259" spans="1:5" s="16" customFormat="1" ht="12.95" customHeight="1">
      <c r="A1259" s="26" t="s">
        <v>7732</v>
      </c>
      <c r="B1259" s="26"/>
      <c r="C1259" s="26" t="s">
        <v>7733</v>
      </c>
      <c r="D1259" s="26"/>
      <c r="E1259" s="26"/>
    </row>
    <row r="1260" spans="1:5" s="16" customFormat="1" ht="12.95" customHeight="1">
      <c r="A1260" s="26" t="s">
        <v>7734</v>
      </c>
      <c r="B1260" s="26"/>
      <c r="C1260" s="26" t="s">
        <v>7735</v>
      </c>
      <c r="D1260" s="26"/>
      <c r="E1260" s="26"/>
    </row>
    <row r="1261" spans="1:5" s="16" customFormat="1" ht="12.95" customHeight="1">
      <c r="A1261" s="26" t="s">
        <v>7736</v>
      </c>
      <c r="B1261" s="26"/>
      <c r="C1261" s="26" t="s">
        <v>7737</v>
      </c>
      <c r="D1261" s="26"/>
      <c r="E1261" s="26"/>
    </row>
    <row r="1262" spans="1:5" s="16" customFormat="1" ht="12.95" customHeight="1">
      <c r="A1262" s="26" t="s">
        <v>5938</v>
      </c>
      <c r="B1262" s="26"/>
      <c r="C1262" s="26" t="s">
        <v>7738</v>
      </c>
      <c r="D1262" s="26"/>
      <c r="E1262" s="26"/>
    </row>
    <row r="1263" spans="1:5" s="16" customFormat="1" ht="12.95" customHeight="1">
      <c r="A1263" s="26" t="s">
        <v>1752</v>
      </c>
      <c r="B1263" s="26"/>
      <c r="C1263" s="26" t="s">
        <v>7739</v>
      </c>
      <c r="D1263" s="26"/>
      <c r="E1263" s="26"/>
    </row>
    <row r="1264" spans="1:5" s="16" customFormat="1" ht="12.95" customHeight="1">
      <c r="A1264" s="26" t="s">
        <v>7740</v>
      </c>
      <c r="B1264" s="26"/>
      <c r="C1264" s="26" t="s">
        <v>7741</v>
      </c>
      <c r="D1264" s="26"/>
      <c r="E1264" s="26"/>
    </row>
    <row r="1265" spans="1:5" s="16" customFormat="1" ht="12.95" customHeight="1">
      <c r="A1265" s="26" t="s">
        <v>7742</v>
      </c>
      <c r="B1265" s="26"/>
      <c r="C1265" s="26" t="s">
        <v>7743</v>
      </c>
      <c r="D1265" s="26"/>
      <c r="E1265" s="26"/>
    </row>
    <row r="1266" spans="1:5" s="16" customFormat="1" ht="12.95" customHeight="1">
      <c r="A1266" s="26" t="s">
        <v>1260</v>
      </c>
      <c r="B1266" s="26"/>
      <c r="C1266" s="26" t="s">
        <v>7744</v>
      </c>
      <c r="D1266" s="26"/>
      <c r="E1266" s="26"/>
    </row>
    <row r="1267" spans="1:5" s="16" customFormat="1" ht="12.95" customHeight="1">
      <c r="A1267" s="26" t="s">
        <v>219</v>
      </c>
      <c r="B1267" s="26"/>
      <c r="C1267" s="26" t="s">
        <v>7745</v>
      </c>
      <c r="D1267" s="26"/>
      <c r="E1267" s="26"/>
    </row>
    <row r="1268" spans="1:5" s="16" customFormat="1" ht="12.95" customHeight="1">
      <c r="A1268" s="26" t="s">
        <v>3396</v>
      </c>
      <c r="B1268" s="26"/>
      <c r="C1268" s="26" t="s">
        <v>7746</v>
      </c>
      <c r="D1268" s="26"/>
      <c r="E1268" s="26"/>
    </row>
    <row r="1269" spans="1:5" s="16" customFormat="1" ht="12.95" customHeight="1">
      <c r="A1269" s="26" t="s">
        <v>7747</v>
      </c>
      <c r="B1269" s="26"/>
      <c r="C1269" s="26" t="s">
        <v>7748</v>
      </c>
      <c r="D1269" s="26"/>
      <c r="E1269" s="26"/>
    </row>
    <row r="1270" spans="1:5" s="16" customFormat="1" ht="12.95" customHeight="1">
      <c r="A1270" s="26" t="s">
        <v>235</v>
      </c>
      <c r="B1270" s="26"/>
      <c r="C1270" s="26" t="s">
        <v>7749</v>
      </c>
      <c r="D1270" s="26"/>
      <c r="E1270" s="26"/>
    </row>
    <row r="1271" spans="1:5" s="16" customFormat="1" ht="12.95" customHeight="1">
      <c r="A1271" s="26" t="s">
        <v>2011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7751</v>
      </c>
      <c r="B1272" s="26"/>
      <c r="C1272" s="26" t="s">
        <v>7752</v>
      </c>
      <c r="D1272" s="26"/>
      <c r="E1272" s="26"/>
    </row>
    <row r="1273" spans="1:5" s="16" customFormat="1" ht="12.95" customHeight="1">
      <c r="A1273" s="26" t="s">
        <v>7753</v>
      </c>
      <c r="B1273" s="26"/>
      <c r="C1273" s="26" t="s">
        <v>7754</v>
      </c>
      <c r="D1273" s="26"/>
      <c r="E1273" s="26"/>
    </row>
    <row r="1274" spans="1:5" s="16" customFormat="1" ht="12.95" customHeight="1">
      <c r="A1274" s="26" t="s">
        <v>7755</v>
      </c>
      <c r="B1274" s="26"/>
      <c r="C1274" s="26" t="s">
        <v>7756</v>
      </c>
      <c r="D1274" s="26"/>
      <c r="E1274" s="26"/>
    </row>
    <row r="1275" spans="1:5" s="16" customFormat="1" ht="12.95" customHeight="1">
      <c r="A1275" s="26" t="s">
        <v>7757</v>
      </c>
      <c r="B1275" s="26"/>
      <c r="C1275" s="26" t="s">
        <v>7758</v>
      </c>
      <c r="D1275" s="26"/>
      <c r="E1275" s="26"/>
    </row>
    <row r="1276" spans="1:5" s="16" customFormat="1" ht="12.95" customHeight="1">
      <c r="A1276" s="26" t="s">
        <v>5358</v>
      </c>
      <c r="B1276" s="26"/>
      <c r="C1276" s="26" t="s">
        <v>7759</v>
      </c>
      <c r="D1276" s="26"/>
      <c r="E1276" s="26"/>
    </row>
    <row r="1277" spans="1:5" s="16" customFormat="1" ht="12.95" customHeight="1">
      <c r="A1277" s="26" t="s">
        <v>7760</v>
      </c>
      <c r="B1277" s="26"/>
      <c r="C1277" s="26" t="s">
        <v>7761</v>
      </c>
      <c r="D1277" s="26"/>
      <c r="E1277" s="26"/>
    </row>
    <row r="1278" spans="1:5" s="16" customFormat="1" ht="12.95" customHeight="1">
      <c r="A1278" s="26" t="s">
        <v>2123</v>
      </c>
      <c r="B1278" s="26"/>
      <c r="C1278" s="26" t="s">
        <v>7762</v>
      </c>
      <c r="D1278" s="26"/>
      <c r="E1278" s="26"/>
    </row>
    <row r="1279" spans="1:5" s="16" customFormat="1" ht="12.95" customHeight="1">
      <c r="A1279" s="26" t="s">
        <v>4160</v>
      </c>
      <c r="B1279" s="26"/>
      <c r="C1279" s="26" t="s">
        <v>7763</v>
      </c>
      <c r="D1279" s="26"/>
      <c r="E1279" s="26"/>
    </row>
    <row r="1280" spans="1:5" s="16" customFormat="1" ht="12.95" customHeight="1">
      <c r="A1280" s="26" t="s">
        <v>3633</v>
      </c>
      <c r="B1280" s="26"/>
      <c r="C1280" s="26" t="s">
        <v>7764</v>
      </c>
      <c r="D1280" s="26"/>
      <c r="E1280" s="26"/>
    </row>
    <row r="1281" spans="1:5" s="16" customFormat="1" ht="12.95" customHeight="1">
      <c r="A1281" s="26" t="s">
        <v>7765</v>
      </c>
      <c r="B1281" s="26"/>
      <c r="C1281" s="26" t="s">
        <v>7766</v>
      </c>
      <c r="D1281" s="26"/>
      <c r="E1281" s="26"/>
    </row>
    <row r="1282" spans="1:5" s="16" customFormat="1" ht="12.95" customHeight="1">
      <c r="A1282" s="26" t="s">
        <v>1165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6310</v>
      </c>
      <c r="B1284" s="26"/>
      <c r="C1284" s="26" t="s">
        <v>7770</v>
      </c>
      <c r="D1284" s="26"/>
      <c r="E1284" s="26"/>
    </row>
    <row r="1285" spans="1:5" s="16" customFormat="1" ht="12.95" customHeight="1">
      <c r="A1285" s="26" t="s">
        <v>7771</v>
      </c>
      <c r="B1285" s="26"/>
      <c r="C1285" s="26" t="s">
        <v>7772</v>
      </c>
      <c r="D1285" s="26"/>
      <c r="E1285" s="26"/>
    </row>
    <row r="1286" spans="1:5" s="16" customFormat="1" ht="12.95" customHeight="1">
      <c r="A1286" s="26" t="s">
        <v>7773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7777</v>
      </c>
      <c r="B1288" s="26"/>
      <c r="C1288" s="26" t="s">
        <v>7778</v>
      </c>
      <c r="D1288" s="26"/>
      <c r="E1288" s="26"/>
    </row>
    <row r="1289" spans="1:5" s="16" customFormat="1" ht="12.95" customHeight="1">
      <c r="A1289" s="26" t="s">
        <v>7779</v>
      </c>
      <c r="B1289" s="26"/>
      <c r="C1289" s="26" t="s">
        <v>7780</v>
      </c>
      <c r="D1289" s="26"/>
      <c r="E1289" s="26"/>
    </row>
    <row r="1290" spans="1:5" s="16" customFormat="1" ht="12.95" customHeight="1">
      <c r="A1290" s="26" t="s">
        <v>7781</v>
      </c>
      <c r="B1290" s="26"/>
      <c r="C1290" s="26" t="s">
        <v>7782</v>
      </c>
      <c r="D1290" s="26"/>
      <c r="E1290" s="26"/>
    </row>
    <row r="1291" spans="1:5" s="16" customFormat="1" ht="12.95" customHeight="1">
      <c r="A1291" s="26" t="s">
        <v>7783</v>
      </c>
      <c r="B1291" s="26"/>
      <c r="C1291" s="26" t="s">
        <v>7784</v>
      </c>
      <c r="D1291" s="26"/>
      <c r="E1291" s="26"/>
    </row>
    <row r="1292" spans="1:5" s="16" customFormat="1" ht="12.95" customHeight="1">
      <c r="A1292" s="26" t="s">
        <v>7785</v>
      </c>
      <c r="B1292" s="26"/>
      <c r="C1292" s="26" t="s">
        <v>7786</v>
      </c>
      <c r="D1292" s="26"/>
      <c r="E1292" s="26"/>
    </row>
    <row r="1293" spans="1:5" s="16" customFormat="1" ht="12.95" customHeight="1">
      <c r="A1293" s="26" t="s">
        <v>7787</v>
      </c>
      <c r="B1293" s="26"/>
      <c r="C1293" s="26" t="s">
        <v>7788</v>
      </c>
      <c r="D1293" s="26"/>
      <c r="E1293" s="26"/>
    </row>
    <row r="1294" spans="1:5" s="16" customFormat="1" ht="12.95" customHeight="1">
      <c r="A1294" s="26" t="s">
        <v>7789</v>
      </c>
      <c r="B1294" s="26"/>
      <c r="C1294" s="26" t="s">
        <v>7790</v>
      </c>
      <c r="D1294" s="26"/>
      <c r="E1294" s="26"/>
    </row>
    <row r="1295" spans="1:5" s="16" customFormat="1" ht="12.95" customHeight="1">
      <c r="A1295" s="26" t="s">
        <v>7791</v>
      </c>
      <c r="B1295" s="26"/>
      <c r="C1295" s="26" t="s">
        <v>7792</v>
      </c>
      <c r="D1295" s="26"/>
      <c r="E1295" s="26"/>
    </row>
    <row r="1296" spans="1:5" s="16" customFormat="1" ht="12.95" customHeight="1">
      <c r="A1296" s="26" t="s">
        <v>7793</v>
      </c>
      <c r="B1296" s="26"/>
      <c r="C1296" s="26" t="s">
        <v>7794</v>
      </c>
      <c r="D1296" s="26"/>
      <c r="E1296" s="26"/>
    </row>
    <row r="1297" spans="1:5" s="16" customFormat="1" ht="12.95" customHeight="1">
      <c r="A1297" s="26" t="s">
        <v>7795</v>
      </c>
      <c r="B1297" s="26"/>
      <c r="C1297" s="26" t="s">
        <v>7796</v>
      </c>
      <c r="D1297" s="26"/>
      <c r="E1297" s="26"/>
    </row>
    <row r="1298" spans="1:5" s="16" customFormat="1" ht="12.95" customHeight="1">
      <c r="A1298" s="26" t="s">
        <v>7797</v>
      </c>
      <c r="B1298" s="26"/>
      <c r="C1298" s="26" t="s">
        <v>7798</v>
      </c>
      <c r="D1298" s="26"/>
      <c r="E1298" s="26"/>
    </row>
    <row r="1299" spans="1:5" s="16" customFormat="1" ht="12.95" customHeight="1">
      <c r="A1299" s="26" t="s">
        <v>7799</v>
      </c>
      <c r="B1299" s="26"/>
      <c r="C1299" s="26" t="s">
        <v>7800</v>
      </c>
      <c r="D1299" s="26"/>
      <c r="E1299" s="26"/>
    </row>
    <row r="1300" spans="1:5" s="16" customFormat="1" ht="12.95" customHeight="1">
      <c r="A1300" s="26" t="s">
        <v>7801</v>
      </c>
      <c r="B1300" s="26"/>
      <c r="C1300" s="26" t="s">
        <v>7802</v>
      </c>
      <c r="D1300" s="26"/>
      <c r="E1300" s="26"/>
    </row>
    <row r="1301" spans="1:5" s="16" customFormat="1" ht="12.95" customHeight="1">
      <c r="A1301" s="26" t="s">
        <v>7803</v>
      </c>
      <c r="B1301" s="26"/>
      <c r="C1301" s="26" t="s">
        <v>7804</v>
      </c>
      <c r="D1301" s="26"/>
      <c r="E1301" s="26"/>
    </row>
    <row r="1302" spans="1:5" s="16" customFormat="1" ht="12.95" customHeight="1">
      <c r="A1302" s="26" t="s">
        <v>7805</v>
      </c>
      <c r="B1302" s="26"/>
      <c r="C1302" s="26" t="s">
        <v>7806</v>
      </c>
      <c r="D1302" s="26"/>
      <c r="E1302" s="26"/>
    </row>
    <row r="1303" spans="1:5" s="16" customFormat="1" ht="12.95" customHeight="1">
      <c r="A1303" s="26" t="s">
        <v>7807</v>
      </c>
      <c r="B1303" s="26"/>
      <c r="C1303" s="26" t="s">
        <v>7808</v>
      </c>
      <c r="D1303" s="26"/>
      <c r="E1303" s="26"/>
    </row>
    <row r="1304" spans="1:5" s="16" customFormat="1" ht="12.95" customHeight="1">
      <c r="A1304" s="26" t="s">
        <v>7809</v>
      </c>
      <c r="B1304" s="26"/>
      <c r="C1304" s="26" t="s">
        <v>7810</v>
      </c>
      <c r="D1304" s="26"/>
      <c r="E1304" s="26"/>
    </row>
    <row r="1305" spans="1:5" s="16" customFormat="1" ht="12.95" customHeight="1">
      <c r="A1305" s="26" t="s">
        <v>7811</v>
      </c>
      <c r="B1305" s="26"/>
      <c r="C1305" s="26" t="s">
        <v>7812</v>
      </c>
      <c r="D1305" s="26"/>
      <c r="E1305" s="26"/>
    </row>
    <row r="1306" spans="1:5" s="16" customFormat="1" ht="12.95" customHeight="1">
      <c r="A1306" s="26" t="s">
        <v>7813</v>
      </c>
      <c r="B1306" s="26"/>
      <c r="C1306" s="26" t="s">
        <v>7814</v>
      </c>
      <c r="D1306" s="26"/>
      <c r="E1306" s="26"/>
    </row>
    <row r="1307" spans="1:5" s="16" customFormat="1" ht="12.95" customHeight="1">
      <c r="A1307" s="26" t="s">
        <v>7815</v>
      </c>
      <c r="B1307" s="26"/>
      <c r="C1307" s="26" t="s">
        <v>7816</v>
      </c>
      <c r="D1307" s="26"/>
      <c r="E1307" s="26"/>
    </row>
    <row r="1308" spans="1:5" s="16" customFormat="1" ht="12.95" customHeight="1">
      <c r="A1308" s="26" t="s">
        <v>7817</v>
      </c>
      <c r="B1308" s="26"/>
      <c r="C1308" s="26" t="s">
        <v>7818</v>
      </c>
      <c r="D1308" s="26"/>
      <c r="E1308" s="26"/>
    </row>
    <row r="1309" spans="1:5" s="16" customFormat="1" ht="12.95" customHeight="1">
      <c r="A1309" s="26" t="s">
        <v>7819</v>
      </c>
      <c r="B1309" s="26"/>
      <c r="C1309" s="26" t="s">
        <v>7820</v>
      </c>
      <c r="D1309" s="26"/>
      <c r="E1309" s="26"/>
    </row>
    <row r="1310" spans="1:5" s="16" customFormat="1" ht="12.95" customHeight="1">
      <c r="A1310" s="26" t="s">
        <v>7821</v>
      </c>
      <c r="B1310" s="26"/>
      <c r="C1310" s="26" t="s">
        <v>7822</v>
      </c>
      <c r="D1310" s="26"/>
      <c r="E1310" s="26"/>
    </row>
    <row r="1311" spans="1:5" s="16" customFormat="1" ht="12.95" customHeight="1">
      <c r="A1311" s="26" t="s">
        <v>7823</v>
      </c>
      <c r="B1311" s="26"/>
      <c r="C1311" s="26" t="s">
        <v>7824</v>
      </c>
      <c r="D1311" s="26"/>
      <c r="E1311" s="26"/>
    </row>
    <row r="1312" spans="1:5" s="16" customFormat="1" ht="12.95" customHeight="1">
      <c r="A1312" s="26" t="s">
        <v>7825</v>
      </c>
      <c r="B1312" s="26"/>
      <c r="C1312" s="26" t="s">
        <v>7826</v>
      </c>
      <c r="D1312" s="26"/>
      <c r="E1312" s="26"/>
    </row>
    <row r="1313" spans="1:5" s="16" customFormat="1" ht="12.95" customHeight="1">
      <c r="A1313" s="26" t="s">
        <v>7827</v>
      </c>
      <c r="B1313" s="26"/>
      <c r="C1313" s="26" t="s">
        <v>7828</v>
      </c>
      <c r="D1313" s="26"/>
      <c r="E1313" s="26"/>
    </row>
    <row r="1314" spans="1:5" s="16" customFormat="1" ht="12.95" customHeight="1">
      <c r="A1314" s="26" t="s">
        <v>7829</v>
      </c>
      <c r="B1314" s="26"/>
      <c r="C1314" s="26" t="s">
        <v>7830</v>
      </c>
      <c r="D1314" s="26"/>
      <c r="E1314" s="26"/>
    </row>
    <row r="1315" spans="1:5" s="16" customFormat="1" ht="12.95" customHeight="1">
      <c r="A1315" s="26" t="s">
        <v>7831</v>
      </c>
      <c r="B1315" s="26"/>
      <c r="C1315" s="26" t="s">
        <v>7832</v>
      </c>
      <c r="D1315" s="26"/>
      <c r="E1315" s="26"/>
    </row>
    <row r="1316" spans="1:5" s="16" customFormat="1" ht="12.95" customHeight="1">
      <c r="A1316" s="26" t="s">
        <v>7833</v>
      </c>
      <c r="B1316" s="26"/>
      <c r="C1316" s="26" t="s">
        <v>7834</v>
      </c>
      <c r="D1316" s="26"/>
      <c r="E1316" s="26"/>
    </row>
    <row r="1317" spans="1:5" s="16" customFormat="1" ht="12.95" customHeight="1">
      <c r="A1317" s="26" t="s">
        <v>7835</v>
      </c>
      <c r="B1317" s="26"/>
      <c r="C1317" s="26" t="s">
        <v>7836</v>
      </c>
      <c r="D1317" s="26"/>
      <c r="E1317" s="26"/>
    </row>
    <row r="1318" spans="1:5" s="16" customFormat="1" ht="12.95" customHeight="1">
      <c r="A1318" s="26" t="s">
        <v>7837</v>
      </c>
      <c r="B1318" s="26"/>
      <c r="C1318" s="26" t="s">
        <v>7838</v>
      </c>
      <c r="D1318" s="26"/>
      <c r="E1318" s="26"/>
    </row>
    <row r="1319" spans="1:5" s="16" customFormat="1" ht="12.95" customHeight="1">
      <c r="A1319" s="26" t="s">
        <v>7839</v>
      </c>
      <c r="B1319" s="26"/>
      <c r="C1319" s="26" t="s">
        <v>7840</v>
      </c>
      <c r="D1319" s="26"/>
      <c r="E1319" s="26"/>
    </row>
    <row r="1320" spans="1:5" s="16" customFormat="1" ht="12.95" customHeight="1">
      <c r="A1320" s="26" t="s">
        <v>7841</v>
      </c>
      <c r="B1320" s="26"/>
      <c r="C1320" s="26" t="s">
        <v>7842</v>
      </c>
      <c r="D1320" s="26"/>
      <c r="E1320" s="26"/>
    </row>
    <row r="1321" spans="1:5" s="16" customFormat="1" ht="12.95" customHeight="1">
      <c r="A1321" s="26" t="s">
        <v>7843</v>
      </c>
      <c r="B1321" s="26"/>
      <c r="C1321" s="26" t="s">
        <v>7844</v>
      </c>
      <c r="D1321" s="26"/>
      <c r="E1321" s="26"/>
    </row>
    <row r="1322" spans="1:5" s="16" customFormat="1" ht="12.95" customHeight="1">
      <c r="A1322" s="26" t="s">
        <v>7845</v>
      </c>
      <c r="B1322" s="26"/>
      <c r="C1322" s="26" t="s">
        <v>7846</v>
      </c>
      <c r="D1322" s="26"/>
      <c r="E1322" s="26"/>
    </row>
    <row r="1323" spans="1:5" s="16" customFormat="1" ht="12.95" customHeight="1">
      <c r="A1323" s="26" t="s">
        <v>7847</v>
      </c>
      <c r="B1323" s="26"/>
      <c r="C1323" s="26" t="s">
        <v>7848</v>
      </c>
      <c r="D1323" s="26"/>
      <c r="E1323" s="26"/>
    </row>
    <row r="1324" spans="1:5" s="16" customFormat="1" ht="12.95" customHeight="1">
      <c r="A1324" s="26" t="s">
        <v>7849</v>
      </c>
      <c r="B1324" s="26"/>
      <c r="C1324" s="26" t="s">
        <v>7850</v>
      </c>
      <c r="D1324" s="26"/>
      <c r="E1324" s="26"/>
    </row>
    <row r="1325" spans="1:5" s="16" customFormat="1" ht="12.95" customHeight="1">
      <c r="A1325" s="26" t="s">
        <v>7851</v>
      </c>
      <c r="B1325" s="26"/>
      <c r="C1325" s="26" t="s">
        <v>7852</v>
      </c>
      <c r="D1325" s="26"/>
      <c r="E1325" s="26"/>
    </row>
    <row r="1326" spans="1:5" s="16" customFormat="1" ht="12.95" customHeight="1">
      <c r="A1326" s="26" t="s">
        <v>7853</v>
      </c>
      <c r="B1326" s="26"/>
      <c r="C1326" s="26" t="s">
        <v>7854</v>
      </c>
      <c r="D1326" s="26"/>
      <c r="E1326" s="26"/>
    </row>
    <row r="1327" spans="1:5" s="16" customFormat="1" ht="12.95" customHeight="1">
      <c r="A1327" s="26" t="s">
        <v>7855</v>
      </c>
      <c r="B1327" s="26"/>
      <c r="C1327" s="26" t="s">
        <v>7856</v>
      </c>
      <c r="D1327" s="26"/>
      <c r="E1327" s="26"/>
    </row>
    <row r="1328" spans="1:5" s="16" customFormat="1" ht="12.95" customHeight="1">
      <c r="A1328" s="26" t="s">
        <v>7857</v>
      </c>
      <c r="B1328" s="26"/>
      <c r="C1328" s="26" t="s">
        <v>7858</v>
      </c>
      <c r="D1328" s="26"/>
      <c r="E1328" s="26"/>
    </row>
    <row r="1329" spans="1:5" s="16" customFormat="1" ht="12.95" customHeight="1">
      <c r="A1329" s="26" t="s">
        <v>7859</v>
      </c>
      <c r="B1329" s="26"/>
      <c r="C1329" s="26" t="s">
        <v>7860</v>
      </c>
      <c r="D1329" s="26"/>
      <c r="E1329" s="26"/>
    </row>
    <row r="1330" spans="1:5" s="16" customFormat="1" ht="12.95" customHeight="1">
      <c r="A1330" s="26" t="s">
        <v>5890</v>
      </c>
      <c r="B1330" s="26"/>
      <c r="C1330" s="26" t="s">
        <v>7861</v>
      </c>
      <c r="D1330" s="26"/>
      <c r="E1330" s="26"/>
    </row>
    <row r="1331" spans="1:5" s="16" customFormat="1" ht="12.95" customHeight="1">
      <c r="A1331" s="26" t="s">
        <v>7862</v>
      </c>
      <c r="B1331" s="26"/>
      <c r="C1331" s="26" t="s">
        <v>7863</v>
      </c>
      <c r="D1331" s="26"/>
      <c r="E1331" s="26"/>
    </row>
    <row r="1332" spans="1:5" s="16" customFormat="1" ht="12.95" customHeight="1">
      <c r="A1332" s="26" t="s">
        <v>7864</v>
      </c>
      <c r="B1332" s="26"/>
      <c r="C1332" s="26" t="s">
        <v>7865</v>
      </c>
      <c r="D1332" s="26"/>
      <c r="E1332" s="26"/>
    </row>
    <row r="1333" spans="1:5" s="16" customFormat="1" ht="12.95" customHeight="1">
      <c r="A1333" s="26" t="s">
        <v>7866</v>
      </c>
      <c r="B1333" s="26"/>
      <c r="C1333" s="26" t="s">
        <v>7867</v>
      </c>
      <c r="D1333" s="26"/>
      <c r="E1333" s="26"/>
    </row>
    <row r="1334" spans="1:5" s="16" customFormat="1" ht="12.95" customHeight="1">
      <c r="A1334" s="26" t="s">
        <v>7868</v>
      </c>
      <c r="B1334" s="26"/>
      <c r="C1334" s="26" t="s">
        <v>7869</v>
      </c>
      <c r="D1334" s="26"/>
      <c r="E1334" s="26"/>
    </row>
    <row r="1335" spans="1:5" s="16" customFormat="1" ht="12.95" customHeight="1">
      <c r="A1335" s="26" t="s">
        <v>7870</v>
      </c>
      <c r="B1335" s="26"/>
      <c r="C1335" s="26" t="s">
        <v>7871</v>
      </c>
      <c r="D1335" s="26"/>
      <c r="E1335" s="26"/>
    </row>
    <row r="1336" spans="1:5" s="16" customFormat="1" ht="12.95" customHeight="1">
      <c r="A1336" s="26" t="s">
        <v>7872</v>
      </c>
      <c r="B1336" s="26"/>
      <c r="C1336" s="26" t="s">
        <v>7873</v>
      </c>
      <c r="D1336" s="26"/>
      <c r="E1336" s="26"/>
    </row>
    <row r="1337" spans="1:5" s="16" customFormat="1" ht="12.95" customHeight="1">
      <c r="A1337" s="26" t="s">
        <v>7874</v>
      </c>
      <c r="B1337" s="26"/>
      <c r="C1337" s="26" t="s">
        <v>7875</v>
      </c>
      <c r="D1337" s="26"/>
      <c r="E1337" s="26"/>
    </row>
    <row r="1338" spans="1:5" s="16" customFormat="1" ht="12.95" customHeight="1">
      <c r="A1338" s="26" t="s">
        <v>7876</v>
      </c>
      <c r="B1338" s="26"/>
      <c r="C1338" s="26" t="s">
        <v>7877</v>
      </c>
      <c r="D1338" s="26"/>
      <c r="E1338" s="26"/>
    </row>
    <row r="1339" spans="1:5" s="16" customFormat="1" ht="12.95" customHeight="1">
      <c r="A1339" s="26" t="s">
        <v>7878</v>
      </c>
      <c r="B1339" s="26"/>
      <c r="C1339" s="26" t="s">
        <v>7879</v>
      </c>
      <c r="D1339" s="26"/>
      <c r="E1339" s="26"/>
    </row>
    <row r="1340" spans="1:5" s="16" customFormat="1" ht="12.95" customHeight="1">
      <c r="A1340" s="26" t="s">
        <v>7880</v>
      </c>
      <c r="B1340" s="26"/>
      <c r="C1340" s="26" t="s">
        <v>7881</v>
      </c>
      <c r="D1340" s="26"/>
      <c r="E1340" s="26"/>
    </row>
    <row r="1341" spans="1:5" s="16" customFormat="1" ht="12.95" customHeight="1">
      <c r="A1341" s="26" t="s">
        <v>7882</v>
      </c>
      <c r="B1341" s="26"/>
      <c r="C1341" s="26" t="s">
        <v>7883</v>
      </c>
      <c r="D1341" s="26"/>
      <c r="E1341" s="26"/>
    </row>
    <row r="1342" spans="1:5" s="16" customFormat="1" ht="12.95" customHeight="1">
      <c r="A1342" s="26" t="s">
        <v>2384</v>
      </c>
      <c r="B1342" s="26"/>
      <c r="C1342" s="26" t="s">
        <v>7884</v>
      </c>
      <c r="D1342" s="26"/>
      <c r="E1342" s="26"/>
    </row>
    <row r="1343" spans="1:5" s="16" customFormat="1" ht="12.95" customHeight="1">
      <c r="A1343" s="26" t="s">
        <v>7885</v>
      </c>
      <c r="B1343" s="26"/>
      <c r="C1343" s="26" t="s">
        <v>7886</v>
      </c>
      <c r="D1343" s="26"/>
      <c r="E1343" s="26"/>
    </row>
    <row r="1344" spans="1:5" s="16" customFormat="1" ht="12.95" customHeight="1">
      <c r="A1344" s="26" t="s">
        <v>7887</v>
      </c>
      <c r="B1344" s="26"/>
      <c r="C1344" s="26" t="s">
        <v>7888</v>
      </c>
      <c r="D1344" s="26"/>
      <c r="E1344" s="26"/>
    </row>
    <row r="1345" spans="1:5" s="16" customFormat="1" ht="12.95" customHeight="1">
      <c r="A1345" s="26" t="s">
        <v>7889</v>
      </c>
      <c r="B1345" s="26"/>
      <c r="C1345" s="26" t="s">
        <v>7890</v>
      </c>
      <c r="D1345" s="26"/>
      <c r="E1345" s="26"/>
    </row>
    <row r="1346" spans="1:5" s="16" customFormat="1" ht="12.95" customHeight="1">
      <c r="A1346" s="26" t="s">
        <v>3345</v>
      </c>
      <c r="B1346" s="26"/>
      <c r="C1346" s="26" t="s">
        <v>7891</v>
      </c>
      <c r="D1346" s="26"/>
      <c r="E1346" s="26"/>
    </row>
    <row r="1347" spans="1:5" s="16" customFormat="1" ht="12.95" customHeight="1">
      <c r="A1347" s="26" t="s">
        <v>7892</v>
      </c>
      <c r="B1347" s="26"/>
      <c r="C1347" s="26" t="s">
        <v>7893</v>
      </c>
      <c r="D1347" s="26"/>
      <c r="E1347" s="26"/>
    </row>
    <row r="1348" spans="1:5" s="16" customFormat="1" ht="12.95" customHeight="1">
      <c r="A1348" s="26" t="s">
        <v>7894</v>
      </c>
      <c r="B1348" s="26"/>
      <c r="C1348" s="26" t="s">
        <v>7895</v>
      </c>
      <c r="D1348" s="26"/>
      <c r="E1348" s="26"/>
    </row>
    <row r="1349" spans="1:5" s="16" customFormat="1" ht="12.95" customHeight="1">
      <c r="A1349" s="26" t="s">
        <v>7896</v>
      </c>
      <c r="B1349" s="26"/>
      <c r="C1349" s="26" t="s">
        <v>7897</v>
      </c>
      <c r="D1349" s="26"/>
      <c r="E1349" s="26"/>
    </row>
    <row r="1350" spans="1:5" s="16" customFormat="1" ht="12.95" customHeight="1">
      <c r="A1350" s="26" t="s">
        <v>7898</v>
      </c>
      <c r="B1350" s="26"/>
      <c r="C1350" s="26" t="s">
        <v>7899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7904</v>
      </c>
      <c r="B1354" s="26"/>
      <c r="C1354" s="26" t="s">
        <v>7905</v>
      </c>
      <c r="D1354" s="26"/>
      <c r="E1354" s="26"/>
    </row>
    <row r="1355" spans="1:5" s="16" customFormat="1" ht="12.95" customHeight="1">
      <c r="A1355" s="26" t="s">
        <v>7906</v>
      </c>
      <c r="B1355" s="26"/>
      <c r="C1355" s="26" t="s">
        <v>7907</v>
      </c>
      <c r="D1355" s="26"/>
      <c r="E1355" s="26"/>
    </row>
    <row r="1356" spans="1:5" s="16" customFormat="1" ht="12.95" customHeight="1">
      <c r="A1356" s="26" t="s">
        <v>7908</v>
      </c>
      <c r="B1356" s="26"/>
      <c r="C1356" s="26" t="s">
        <v>7909</v>
      </c>
      <c r="D1356" s="26"/>
      <c r="E1356" s="26"/>
    </row>
    <row r="1357" spans="1:5" s="16" customFormat="1" ht="12.95" customHeight="1">
      <c r="A1357" s="26" t="s">
        <v>7910</v>
      </c>
      <c r="B1357" s="26"/>
      <c r="C1357" s="26" t="s">
        <v>7911</v>
      </c>
      <c r="D1357" s="26"/>
      <c r="E1357" s="26"/>
    </row>
    <row r="1358" spans="1:5" s="16" customFormat="1" ht="12.95" customHeight="1">
      <c r="A1358" s="26" t="s">
        <v>7912</v>
      </c>
      <c r="B1358" s="26"/>
      <c r="C1358" s="26" t="s">
        <v>7913</v>
      </c>
      <c r="D1358" s="26"/>
      <c r="E1358" s="26"/>
    </row>
    <row r="1359" spans="1:5" s="16" customFormat="1" ht="12.95" customHeight="1">
      <c r="A1359" s="26" t="s">
        <v>7914</v>
      </c>
      <c r="B1359" s="26"/>
      <c r="C1359" s="26" t="s">
        <v>7915</v>
      </c>
      <c r="D1359" s="26"/>
      <c r="E1359" s="26"/>
    </row>
    <row r="1360" spans="1:5" s="16" customFormat="1" ht="12.95" customHeight="1">
      <c r="A1360" s="26" t="s">
        <v>7916</v>
      </c>
      <c r="B1360" s="26"/>
      <c r="C1360" s="26" t="s">
        <v>7917</v>
      </c>
      <c r="D1360" s="26"/>
      <c r="E1360" s="26"/>
    </row>
    <row r="1361" spans="1:5" s="16" customFormat="1" ht="12.95" customHeight="1">
      <c r="A1361" s="26" t="s">
        <v>7918</v>
      </c>
      <c r="B1361" s="26"/>
      <c r="C1361" s="26" t="s">
        <v>7919</v>
      </c>
      <c r="D1361" s="26"/>
      <c r="E1361" s="26"/>
    </row>
    <row r="1362" spans="1:5" s="16" customFormat="1" ht="12.95" customHeight="1">
      <c r="A1362" s="26" t="s">
        <v>7920</v>
      </c>
      <c r="B1362" s="26"/>
      <c r="C1362" s="26" t="s">
        <v>7921</v>
      </c>
      <c r="D1362" s="26"/>
      <c r="E1362" s="26"/>
    </row>
    <row r="1363" spans="1:5" s="16" customFormat="1" ht="12.95" customHeight="1">
      <c r="A1363" s="26" t="s">
        <v>7922</v>
      </c>
      <c r="B1363" s="26"/>
      <c r="C1363" s="26" t="s">
        <v>7923</v>
      </c>
      <c r="D1363" s="26"/>
      <c r="E1363" s="26"/>
    </row>
    <row r="1364" spans="1:5" s="16" customFormat="1" ht="12.95" customHeight="1">
      <c r="A1364" s="26" t="s">
        <v>7924</v>
      </c>
      <c r="B1364" s="26"/>
      <c r="C1364" s="26" t="s">
        <v>7925</v>
      </c>
      <c r="D1364" s="26"/>
      <c r="E1364" s="26"/>
    </row>
    <row r="1365" spans="1:5" s="16" customFormat="1" ht="12.95" customHeight="1">
      <c r="A1365" s="26" t="s">
        <v>7926</v>
      </c>
      <c r="B1365" s="26"/>
      <c r="C1365" s="26" t="s">
        <v>7927</v>
      </c>
      <c r="D1365" s="26"/>
      <c r="E1365" s="26"/>
    </row>
    <row r="1366" spans="1:5" s="16" customFormat="1" ht="12.95" customHeight="1">
      <c r="A1366" s="26" t="s">
        <v>7928</v>
      </c>
      <c r="B1366" s="26"/>
      <c r="C1366" s="26" t="s">
        <v>7929</v>
      </c>
      <c r="D1366" s="26"/>
      <c r="E1366" s="26"/>
    </row>
    <row r="1367" spans="1:5" s="16" customFormat="1" ht="12.95" customHeight="1">
      <c r="A1367" s="26" t="s">
        <v>7930</v>
      </c>
      <c r="B1367" s="26"/>
      <c r="C1367" s="26" t="s">
        <v>7931</v>
      </c>
      <c r="D1367" s="26"/>
      <c r="E1367" s="26"/>
    </row>
    <row r="1368" spans="1:5" s="16" customFormat="1" ht="12.95" customHeight="1">
      <c r="A1368" s="26" t="s">
        <v>7932</v>
      </c>
      <c r="B1368" s="26"/>
      <c r="C1368" s="26" t="s">
        <v>7933</v>
      </c>
      <c r="D1368" s="26"/>
      <c r="E1368" s="26"/>
    </row>
    <row r="1369" spans="1:5" s="16" customFormat="1" ht="12.95" customHeight="1">
      <c r="A1369" s="26" t="s">
        <v>7934</v>
      </c>
      <c r="B1369" s="26"/>
      <c r="C1369" s="26" t="s">
        <v>7935</v>
      </c>
      <c r="D1369" s="26"/>
      <c r="E1369" s="26"/>
    </row>
    <row r="1370" spans="1:5" s="16" customFormat="1" ht="12.95" customHeight="1">
      <c r="A1370" s="26" t="s">
        <v>7936</v>
      </c>
      <c r="B1370" s="26"/>
      <c r="C1370" s="26" t="s">
        <v>7937</v>
      </c>
      <c r="D1370" s="26"/>
      <c r="E1370" s="26"/>
    </row>
    <row r="1371" spans="1:5" s="16" customFormat="1" ht="12.95" customHeight="1">
      <c r="A1371" s="26" t="s">
        <v>7938</v>
      </c>
      <c r="B1371" s="26"/>
      <c r="C1371" s="26" t="s">
        <v>7939</v>
      </c>
      <c r="D1371" s="26"/>
      <c r="E1371" s="26"/>
    </row>
    <row r="1372" spans="1:5" s="16" customFormat="1" ht="12.95" customHeight="1">
      <c r="A1372" s="26" t="s">
        <v>1414</v>
      </c>
      <c r="B1372" s="26"/>
      <c r="C1372" s="26" t="s">
        <v>7940</v>
      </c>
      <c r="D1372" s="26"/>
      <c r="E1372" s="26"/>
    </row>
    <row r="1373" spans="1:5" s="16" customFormat="1" ht="12.95" customHeight="1">
      <c r="A1373" s="26" t="s">
        <v>7941</v>
      </c>
      <c r="B1373" s="26"/>
      <c r="C1373" s="26" t="s">
        <v>7942</v>
      </c>
      <c r="D1373" s="26"/>
      <c r="E1373" s="26"/>
    </row>
    <row r="1374" spans="1:5" s="16" customFormat="1" ht="26.1" customHeight="1">
      <c r="A1374" s="26" t="s">
        <v>7943</v>
      </c>
      <c r="B1374" s="26"/>
      <c r="C1374" s="26" t="s">
        <v>7944</v>
      </c>
      <c r="D1374" s="26"/>
      <c r="E1374" s="26"/>
    </row>
    <row r="1375" spans="1:5" s="16" customFormat="1" ht="12.95" customHeight="1">
      <c r="A1375" s="26" t="s">
        <v>7945</v>
      </c>
      <c r="B1375" s="26"/>
      <c r="C1375" s="26" t="s">
        <v>7946</v>
      </c>
      <c r="D1375" s="26"/>
      <c r="E1375" s="26"/>
    </row>
    <row r="1376" spans="1:5" s="16" customFormat="1" ht="12.95" customHeight="1">
      <c r="A1376" s="26" t="s">
        <v>7947</v>
      </c>
      <c r="B1376" s="26"/>
      <c r="C1376" s="26" t="s">
        <v>7948</v>
      </c>
      <c r="D1376" s="26"/>
      <c r="E1376" s="26"/>
    </row>
    <row r="1377" spans="1:5" s="16" customFormat="1" ht="12.95" customHeight="1">
      <c r="A1377" s="26" t="s">
        <v>5171</v>
      </c>
      <c r="B1377" s="26"/>
      <c r="C1377" s="26" t="s">
        <v>7949</v>
      </c>
      <c r="D1377" s="26"/>
      <c r="E1377" s="26"/>
    </row>
    <row r="1378" spans="1:5" s="16" customFormat="1" ht="12.95" customHeight="1">
      <c r="A1378" s="26" t="s">
        <v>202</v>
      </c>
      <c r="B1378" s="26"/>
      <c r="C1378" s="26" t="s">
        <v>7950</v>
      </c>
      <c r="D1378" s="26"/>
      <c r="E1378" s="26"/>
    </row>
    <row r="1379" spans="1:5" s="16" customFormat="1" ht="12.95" customHeight="1">
      <c r="A1379" s="26" t="s">
        <v>7951</v>
      </c>
      <c r="B1379" s="26"/>
      <c r="C1379" s="26" t="s">
        <v>7952</v>
      </c>
      <c r="D1379" s="26"/>
      <c r="E1379" s="26"/>
    </row>
    <row r="1380" spans="1:5" s="16" customFormat="1" ht="12.95" customHeight="1">
      <c r="A1380" s="26" t="s">
        <v>7953</v>
      </c>
      <c r="B1380" s="26"/>
      <c r="C1380" s="26" t="s">
        <v>7954</v>
      </c>
      <c r="D1380" s="26"/>
      <c r="E1380" s="26"/>
    </row>
    <row r="1381" spans="1:5" s="16" customFormat="1" ht="12.95" customHeight="1">
      <c r="A1381" s="26" t="s">
        <v>6507</v>
      </c>
      <c r="B1381" s="26"/>
      <c r="C1381" s="26" t="s">
        <v>7955</v>
      </c>
      <c r="D1381" s="26"/>
      <c r="E1381" s="26"/>
    </row>
    <row r="1382" spans="1:5" s="16" customFormat="1" ht="12.95" customHeight="1">
      <c r="A1382" s="26" t="s">
        <v>7956</v>
      </c>
      <c r="B1382" s="26"/>
      <c r="C1382" s="26" t="s">
        <v>7957</v>
      </c>
      <c r="D1382" s="26"/>
      <c r="E1382" s="26"/>
    </row>
    <row r="1383" spans="1:5" s="16" customFormat="1" ht="12.95" customHeight="1">
      <c r="A1383" s="26" t="s">
        <v>7958</v>
      </c>
      <c r="B1383" s="26"/>
      <c r="C1383" s="26" t="s">
        <v>7959</v>
      </c>
      <c r="D1383" s="26"/>
      <c r="E1383" s="26"/>
    </row>
    <row r="1384" spans="1:5" s="16" customFormat="1" ht="12.95" customHeight="1">
      <c r="A1384" s="26" t="s">
        <v>7960</v>
      </c>
      <c r="B1384" s="26"/>
      <c r="C1384" s="26" t="s">
        <v>7961</v>
      </c>
      <c r="D1384" s="26"/>
      <c r="E1384" s="26"/>
    </row>
    <row r="1385" spans="1:5" s="16" customFormat="1" ht="12.95" customHeight="1">
      <c r="A1385" s="26" t="s">
        <v>7962</v>
      </c>
      <c r="B1385" s="26"/>
      <c r="C1385" s="26" t="s">
        <v>7963</v>
      </c>
      <c r="D1385" s="26"/>
      <c r="E1385" s="26"/>
    </row>
    <row r="1386" spans="1:5" s="16" customFormat="1" ht="12.95" customHeight="1">
      <c r="A1386" s="26" t="s">
        <v>7964</v>
      </c>
      <c r="B1386" s="26"/>
      <c r="C1386" s="26" t="s">
        <v>7963</v>
      </c>
      <c r="D1386" s="26"/>
      <c r="E1386" s="26"/>
    </row>
    <row r="1387" spans="1:5" s="16" customFormat="1" ht="12.95" customHeight="1">
      <c r="A1387" s="26" t="s">
        <v>7965</v>
      </c>
      <c r="B1387" s="26"/>
      <c r="C1387" s="26" t="s">
        <v>7966</v>
      </c>
      <c r="D1387" s="26"/>
      <c r="E1387" s="26"/>
    </row>
    <row r="1388" spans="1:5" s="16" customFormat="1" ht="12.95" customHeight="1">
      <c r="A1388" s="26" t="s">
        <v>7967</v>
      </c>
      <c r="B1388" s="26"/>
      <c r="C1388" s="26" t="s">
        <v>7968</v>
      </c>
      <c r="D1388" s="26"/>
      <c r="E1388" s="26"/>
    </row>
    <row r="1389" spans="1:5" s="16" customFormat="1" ht="12.95" customHeight="1">
      <c r="A1389" s="26" t="s">
        <v>7969</v>
      </c>
      <c r="B1389" s="26"/>
      <c r="C1389" s="26" t="s">
        <v>7970</v>
      </c>
      <c r="D1389" s="26"/>
      <c r="E1389" s="26"/>
    </row>
    <row r="1390" spans="1:5" s="16" customFormat="1" ht="12.95" customHeight="1">
      <c r="A1390" s="26" t="s">
        <v>7971</v>
      </c>
      <c r="B1390" s="26"/>
      <c r="C1390" s="26" t="s">
        <v>7972</v>
      </c>
      <c r="D1390" s="26"/>
      <c r="E1390" s="26"/>
    </row>
    <row r="1391" spans="1:5" s="16" customFormat="1" ht="12.95" customHeight="1">
      <c r="A1391" s="26" t="s">
        <v>7973</v>
      </c>
      <c r="B1391" s="26"/>
      <c r="C1391" s="26" t="s">
        <v>7974</v>
      </c>
      <c r="D1391" s="26"/>
      <c r="E1391" s="26"/>
    </row>
    <row r="1392" spans="1:5" s="16" customFormat="1" ht="12.95" customHeight="1">
      <c r="A1392" s="26" t="s">
        <v>7975</v>
      </c>
      <c r="B1392" s="26"/>
      <c r="C1392" s="26" t="s">
        <v>7976</v>
      </c>
      <c r="D1392" s="26"/>
      <c r="E1392" s="26"/>
    </row>
    <row r="1393" spans="1:5" s="16" customFormat="1" ht="12.95" customHeight="1">
      <c r="A1393" s="26" t="s">
        <v>7977</v>
      </c>
      <c r="B1393" s="26"/>
      <c r="C1393" s="26" t="s">
        <v>7978</v>
      </c>
      <c r="D1393" s="26"/>
      <c r="E1393" s="26"/>
    </row>
    <row r="1394" spans="1:5" s="16" customFormat="1" ht="12.95" customHeight="1">
      <c r="A1394" s="26" t="s">
        <v>7979</v>
      </c>
      <c r="B1394" s="26"/>
      <c r="C1394" s="26" t="s">
        <v>7980</v>
      </c>
      <c r="D1394" s="26"/>
      <c r="E1394" s="26"/>
    </row>
    <row r="1395" spans="1:5" s="16" customFormat="1" ht="12.95" customHeight="1">
      <c r="A1395" s="26" t="s">
        <v>7981</v>
      </c>
      <c r="B1395" s="26"/>
      <c r="C1395" s="26" t="s">
        <v>7982</v>
      </c>
      <c r="D1395" s="26"/>
      <c r="E1395" s="26"/>
    </row>
    <row r="1396" spans="1:5" s="16" customFormat="1" ht="12.95" customHeight="1">
      <c r="A1396" s="26" t="s">
        <v>7983</v>
      </c>
      <c r="B1396" s="26"/>
      <c r="C1396" s="26" t="s">
        <v>7984</v>
      </c>
      <c r="D1396" s="26"/>
      <c r="E1396" s="26"/>
    </row>
    <row r="1397" spans="1:5" s="16" customFormat="1" ht="12.95" customHeight="1">
      <c r="A1397" s="26" t="s">
        <v>7985</v>
      </c>
      <c r="B1397" s="26"/>
      <c r="C1397" s="26" t="s">
        <v>7986</v>
      </c>
      <c r="D1397" s="26"/>
      <c r="E1397" s="26"/>
    </row>
    <row r="1398" spans="1:5" s="16" customFormat="1" ht="12.95" customHeight="1">
      <c r="A1398" s="26" t="s">
        <v>7987</v>
      </c>
      <c r="B1398" s="26"/>
      <c r="C1398" s="26" t="s">
        <v>7988</v>
      </c>
      <c r="D1398" s="26"/>
      <c r="E1398" s="26"/>
    </row>
    <row r="1399" spans="1:5" s="16" customFormat="1" ht="12.95" customHeight="1">
      <c r="A1399" s="26" t="s">
        <v>7989</v>
      </c>
      <c r="B1399" s="26"/>
      <c r="C1399" s="26" t="s">
        <v>7990</v>
      </c>
      <c r="D1399" s="26"/>
      <c r="E1399" s="26"/>
    </row>
    <row r="1400" spans="1:5" s="16" customFormat="1" ht="12.95" customHeight="1">
      <c r="A1400" s="26" t="s">
        <v>7991</v>
      </c>
      <c r="B1400" s="26"/>
      <c r="C1400" s="26" t="s">
        <v>7992</v>
      </c>
      <c r="D1400" s="26"/>
      <c r="E1400" s="26"/>
    </row>
    <row r="1401" spans="1:5" s="16" customFormat="1" ht="12.95" customHeight="1">
      <c r="A1401" s="26" t="s">
        <v>7993</v>
      </c>
      <c r="B1401" s="26"/>
      <c r="C1401" s="26" t="s">
        <v>7994</v>
      </c>
      <c r="D1401" s="26"/>
      <c r="E1401" s="26"/>
    </row>
    <row r="1402" spans="1:5" s="16" customFormat="1" ht="12.95" customHeight="1">
      <c r="A1402" s="26" t="s">
        <v>7995</v>
      </c>
      <c r="B1402" s="26"/>
      <c r="C1402" s="26" t="s">
        <v>7996</v>
      </c>
      <c r="D1402" s="26"/>
      <c r="E1402" s="26"/>
    </row>
    <row r="1403" spans="1:5" s="16" customFormat="1" ht="12.95" customHeight="1">
      <c r="A1403" s="26" t="s">
        <v>7997</v>
      </c>
      <c r="B1403" s="26"/>
      <c r="C1403" s="26" t="s">
        <v>7998</v>
      </c>
      <c r="D1403" s="26"/>
      <c r="E1403" s="26"/>
    </row>
    <row r="1404" spans="1:5" s="16" customFormat="1" ht="26.1" customHeight="1">
      <c r="A1404" s="26" t="s">
        <v>7999</v>
      </c>
      <c r="B1404" s="26"/>
      <c r="C1404" s="26" t="s">
        <v>8000</v>
      </c>
      <c r="D1404" s="26"/>
      <c r="E1404" s="26"/>
    </row>
    <row r="1405" spans="1:5" s="16" customFormat="1" ht="12.95" customHeight="1">
      <c r="A1405" s="26" t="s">
        <v>8001</v>
      </c>
      <c r="B1405" s="26"/>
      <c r="C1405" s="26" t="s">
        <v>8002</v>
      </c>
      <c r="D1405" s="26"/>
      <c r="E1405" s="26"/>
    </row>
    <row r="1406" spans="1:5" s="16" customFormat="1" ht="12.95" customHeight="1">
      <c r="A1406" s="26" t="s">
        <v>8003</v>
      </c>
      <c r="B1406" s="26"/>
      <c r="C1406" s="26" t="s">
        <v>8004</v>
      </c>
      <c r="D1406" s="26"/>
      <c r="E1406" s="26"/>
    </row>
    <row r="1407" spans="1:5" s="16" customFormat="1" ht="12.95" customHeight="1">
      <c r="A1407" s="26" t="s">
        <v>8005</v>
      </c>
      <c r="B1407" s="26"/>
      <c r="C1407" s="26" t="s">
        <v>8006</v>
      </c>
      <c r="D1407" s="26"/>
      <c r="E1407" s="26"/>
    </row>
    <row r="1408" spans="1:5" s="16" customFormat="1" ht="12.95" customHeight="1">
      <c r="A1408" s="26" t="s">
        <v>8007</v>
      </c>
      <c r="B1408" s="26"/>
      <c r="C1408" s="26" t="s">
        <v>8008</v>
      </c>
      <c r="D1408" s="26"/>
      <c r="E1408" s="26"/>
    </row>
    <row r="1409" spans="1:5" s="16" customFormat="1" ht="12.95" customHeight="1">
      <c r="A1409" s="26" t="s">
        <v>8009</v>
      </c>
      <c r="B1409" s="26"/>
      <c r="C1409" s="26" t="s">
        <v>8010</v>
      </c>
      <c r="D1409" s="26"/>
      <c r="E1409" s="26"/>
    </row>
    <row r="1410" spans="1:5" s="16" customFormat="1" ht="12.95" customHeight="1">
      <c r="A1410" s="26" t="s">
        <v>8011</v>
      </c>
      <c r="B1410" s="26"/>
      <c r="C1410" s="26" t="s">
        <v>8012</v>
      </c>
      <c r="D1410" s="26"/>
      <c r="E1410" s="26"/>
    </row>
    <row r="1411" spans="1:5" s="16" customFormat="1" ht="12.95" customHeight="1">
      <c r="A1411" s="26" t="s">
        <v>7155</v>
      </c>
      <c r="B1411" s="26"/>
      <c r="C1411" s="26" t="s">
        <v>8013</v>
      </c>
      <c r="D1411" s="26"/>
      <c r="E1411" s="26"/>
    </row>
    <row r="1412" spans="1:5" s="16" customFormat="1" ht="12.95" customHeight="1">
      <c r="A1412" s="26" t="s">
        <v>8014</v>
      </c>
      <c r="B1412" s="26"/>
      <c r="C1412" s="26" t="s">
        <v>8015</v>
      </c>
      <c r="D1412" s="26"/>
      <c r="E1412" s="26"/>
    </row>
    <row r="1413" spans="1:5" s="16" customFormat="1" ht="12.95" customHeight="1">
      <c r="A1413" s="26" t="s">
        <v>8016</v>
      </c>
      <c r="B1413" s="26"/>
      <c r="C1413" s="26" t="s">
        <v>8017</v>
      </c>
      <c r="D1413" s="26"/>
      <c r="E1413" s="26"/>
    </row>
    <row r="1414" spans="1:5" s="16" customFormat="1" ht="12.95" customHeight="1">
      <c r="A1414" s="26" t="s">
        <v>8018</v>
      </c>
      <c r="B1414" s="26"/>
      <c r="C1414" s="26" t="s">
        <v>8019</v>
      </c>
      <c r="D1414" s="26"/>
      <c r="E1414" s="26"/>
    </row>
    <row r="1415" spans="1:5" s="16" customFormat="1" ht="12.95" customHeight="1">
      <c r="A1415" s="26" t="s">
        <v>8020</v>
      </c>
      <c r="B1415" s="26"/>
      <c r="C1415" s="26" t="s">
        <v>8021</v>
      </c>
      <c r="D1415" s="26"/>
      <c r="E1415" s="26"/>
    </row>
    <row r="1416" spans="1:5" s="16" customFormat="1" ht="12.95" customHeight="1">
      <c r="A1416" s="26" t="s">
        <v>8022</v>
      </c>
      <c r="B1416" s="26"/>
      <c r="C1416" s="26" t="s">
        <v>8023</v>
      </c>
      <c r="D1416" s="26"/>
      <c r="E1416" s="26"/>
    </row>
    <row r="1417" spans="1:5" s="16" customFormat="1" ht="12.95" customHeight="1">
      <c r="A1417" s="26" t="s">
        <v>8024</v>
      </c>
      <c r="B1417" s="26"/>
      <c r="C1417" s="26" t="s">
        <v>8025</v>
      </c>
      <c r="D1417" s="26"/>
      <c r="E1417" s="26"/>
    </row>
    <row r="1418" spans="1:5" s="16" customFormat="1" ht="12.95" customHeight="1">
      <c r="A1418" s="26" t="s">
        <v>8026</v>
      </c>
      <c r="B1418" s="26"/>
      <c r="C1418" s="26" t="s">
        <v>8027</v>
      </c>
      <c r="D1418" s="26"/>
      <c r="E1418" s="26"/>
    </row>
    <row r="1419" spans="1:5" s="16" customFormat="1" ht="12.95" customHeight="1">
      <c r="A1419" s="26" t="s">
        <v>8028</v>
      </c>
      <c r="B1419" s="26"/>
      <c r="C1419" s="26" t="s">
        <v>8029</v>
      </c>
      <c r="D1419" s="26"/>
      <c r="E1419" s="26"/>
    </row>
    <row r="1420" spans="1:5" s="16" customFormat="1" ht="26.1" customHeight="1">
      <c r="A1420" s="26" t="s">
        <v>8030</v>
      </c>
      <c r="B1420" s="26"/>
      <c r="C1420" s="26" t="s">
        <v>8031</v>
      </c>
      <c r="D1420" s="26"/>
      <c r="E1420" s="26"/>
    </row>
    <row r="1421" spans="1:5" s="16" customFormat="1" ht="12.95" customHeight="1">
      <c r="A1421" s="26" t="s">
        <v>8032</v>
      </c>
      <c r="B1421" s="26"/>
      <c r="C1421" s="26" t="s">
        <v>8033</v>
      </c>
      <c r="D1421" s="26"/>
      <c r="E1421" s="26"/>
    </row>
    <row r="1422" spans="1:5" s="16" customFormat="1" ht="12.95" customHeight="1">
      <c r="A1422" s="26" t="s">
        <v>8034</v>
      </c>
      <c r="B1422" s="26"/>
      <c r="C1422" s="26" t="s">
        <v>8035</v>
      </c>
      <c r="D1422" s="26"/>
      <c r="E1422" s="26"/>
    </row>
    <row r="1423" spans="1:5" s="16" customFormat="1" ht="12.95" customHeight="1">
      <c r="A1423" s="26" t="s">
        <v>3999</v>
      </c>
      <c r="B1423" s="26"/>
      <c r="C1423" s="26" t="s">
        <v>8036</v>
      </c>
      <c r="D1423" s="26"/>
      <c r="E1423" s="26"/>
    </row>
    <row r="1424" spans="1:5" s="16" customFormat="1" ht="12.95" customHeight="1">
      <c r="A1424" s="26" t="s">
        <v>5018</v>
      </c>
      <c r="B1424" s="26"/>
      <c r="C1424" s="26" t="s">
        <v>8037</v>
      </c>
      <c r="D1424" s="26"/>
      <c r="E1424" s="26"/>
    </row>
    <row r="1425" spans="1:5" s="16" customFormat="1" ht="12.95" customHeight="1">
      <c r="A1425" s="26" t="s">
        <v>3403</v>
      </c>
      <c r="B1425" s="26"/>
      <c r="C1425" s="26" t="s">
        <v>8038</v>
      </c>
      <c r="D1425" s="26"/>
      <c r="E1425" s="26"/>
    </row>
    <row r="1426" spans="1:5" s="16" customFormat="1" ht="26.1" customHeight="1">
      <c r="A1426" s="26" t="s">
        <v>8039</v>
      </c>
      <c r="B1426" s="26"/>
      <c r="C1426" s="26" t="s">
        <v>8040</v>
      </c>
      <c r="D1426" s="26"/>
      <c r="E1426" s="26"/>
    </row>
    <row r="1427" spans="1:5" s="16" customFormat="1" ht="26.1" customHeight="1">
      <c r="A1427" s="26" t="s">
        <v>8041</v>
      </c>
      <c r="B1427" s="26"/>
      <c r="C1427" s="26" t="s">
        <v>8042</v>
      </c>
      <c r="D1427" s="26"/>
      <c r="E1427" s="26"/>
    </row>
    <row r="1428" spans="1:5" s="16" customFormat="1" ht="12.95" customHeight="1">
      <c r="A1428" s="26" t="s">
        <v>8043</v>
      </c>
      <c r="B1428" s="26"/>
      <c r="C1428" s="26" t="s">
        <v>8044</v>
      </c>
      <c r="D1428" s="26"/>
      <c r="E1428" s="26"/>
    </row>
    <row r="1429" spans="1:5" s="16" customFormat="1" ht="12.95" customHeight="1">
      <c r="A1429" s="26" t="s">
        <v>8045</v>
      </c>
      <c r="B1429" s="26"/>
      <c r="C1429" s="26" t="s">
        <v>8046</v>
      </c>
      <c r="D1429" s="26"/>
      <c r="E1429" s="26"/>
    </row>
    <row r="1430" spans="1:5" s="16" customFormat="1" ht="12.95" customHeight="1">
      <c r="A1430" s="26" t="s">
        <v>8047</v>
      </c>
      <c r="B1430" s="26"/>
      <c r="C1430" s="26" t="s">
        <v>8048</v>
      </c>
      <c r="D1430" s="26"/>
      <c r="E1430" s="26"/>
    </row>
    <row r="1431" spans="1:5" s="16" customFormat="1" ht="12.95" customHeight="1">
      <c r="A1431" s="26" t="s">
        <v>8049</v>
      </c>
      <c r="B1431" s="26"/>
      <c r="C1431" s="26" t="s">
        <v>8050</v>
      </c>
      <c r="D1431" s="26"/>
      <c r="E1431" s="26"/>
    </row>
    <row r="1432" spans="1:5" s="16" customFormat="1" ht="12.95" customHeight="1">
      <c r="A1432" s="26" t="s">
        <v>8051</v>
      </c>
      <c r="B1432" s="26"/>
      <c r="C1432" s="26" t="s">
        <v>8052</v>
      </c>
      <c r="D1432" s="26"/>
      <c r="E1432" s="26"/>
    </row>
    <row r="1433" spans="1:5" s="16" customFormat="1" ht="12.95" customHeight="1">
      <c r="A1433" s="26" t="s">
        <v>8053</v>
      </c>
      <c r="B1433" s="26"/>
      <c r="C1433" s="26" t="s">
        <v>8054</v>
      </c>
      <c r="D1433" s="26"/>
      <c r="E1433" s="26"/>
    </row>
    <row r="1434" spans="1:5" s="16" customFormat="1" ht="12.95" customHeight="1">
      <c r="A1434" s="26" t="s">
        <v>8055</v>
      </c>
      <c r="B1434" s="26"/>
      <c r="C1434" s="26" t="s">
        <v>8056</v>
      </c>
      <c r="D1434" s="26"/>
      <c r="E1434" s="26"/>
    </row>
    <row r="1435" spans="1:5" s="16" customFormat="1" ht="12.95" customHeight="1">
      <c r="A1435" s="26" t="s">
        <v>8057</v>
      </c>
      <c r="B1435" s="26"/>
      <c r="C1435" s="26" t="s">
        <v>8058</v>
      </c>
      <c r="D1435" s="26"/>
      <c r="E1435" s="26"/>
    </row>
    <row r="1436" spans="1:5" s="16" customFormat="1" ht="12.95" customHeight="1">
      <c r="A1436" s="26" t="s">
        <v>8059</v>
      </c>
      <c r="B1436" s="26"/>
      <c r="C1436" s="26" t="s">
        <v>8060</v>
      </c>
      <c r="D1436" s="26"/>
      <c r="E1436" s="26"/>
    </row>
    <row r="1437" spans="1:5" s="16" customFormat="1" ht="12.95" customHeight="1">
      <c r="A1437" s="26" t="s">
        <v>8061</v>
      </c>
      <c r="B1437" s="26"/>
      <c r="C1437" s="26" t="s">
        <v>8062</v>
      </c>
      <c r="D1437" s="26"/>
      <c r="E1437" s="26"/>
    </row>
    <row r="1438" spans="1:5" s="16" customFormat="1" ht="12.95" customHeight="1">
      <c r="A1438" s="26" t="s">
        <v>8063</v>
      </c>
      <c r="B1438" s="26"/>
      <c r="C1438" s="26" t="s">
        <v>8064</v>
      </c>
      <c r="D1438" s="26"/>
      <c r="E1438" s="26"/>
    </row>
    <row r="1439" spans="1:5" s="16" customFormat="1" ht="12.95" customHeight="1">
      <c r="A1439" s="26" t="s">
        <v>8065</v>
      </c>
      <c r="B1439" s="26"/>
      <c r="C1439" s="26" t="s">
        <v>8066</v>
      </c>
      <c r="D1439" s="26"/>
      <c r="E1439" s="26"/>
    </row>
    <row r="1440" spans="1:5" s="16" customFormat="1" ht="12.95" customHeight="1">
      <c r="A1440" s="26" t="s">
        <v>8067</v>
      </c>
      <c r="B1440" s="26"/>
      <c r="C1440" s="26" t="s">
        <v>8068</v>
      </c>
      <c r="D1440" s="26"/>
      <c r="E1440" s="26"/>
    </row>
    <row r="1441" spans="1:5" s="16" customFormat="1" ht="12.95" customHeight="1">
      <c r="A1441" s="26" t="s">
        <v>8069</v>
      </c>
      <c r="B1441" s="26"/>
      <c r="C1441" s="26" t="s">
        <v>8070</v>
      </c>
      <c r="D1441" s="26"/>
      <c r="E1441" s="26"/>
    </row>
    <row r="1442" spans="1:5" s="16" customFormat="1" ht="12.95" customHeight="1">
      <c r="A1442" s="26" t="s">
        <v>1401</v>
      </c>
      <c r="B1442" s="26"/>
      <c r="C1442" s="26" t="s">
        <v>8071</v>
      </c>
      <c r="D1442" s="26"/>
      <c r="E1442" s="26"/>
    </row>
    <row r="1443" spans="1:5" s="16" customFormat="1" ht="12.95" customHeight="1">
      <c r="A1443" s="26" t="s">
        <v>8072</v>
      </c>
      <c r="B1443" s="26"/>
      <c r="C1443" s="26" t="s">
        <v>8073</v>
      </c>
      <c r="D1443" s="26"/>
      <c r="E1443" s="26"/>
    </row>
    <row r="1444" spans="1:5" s="16" customFormat="1" ht="12.95" customHeight="1">
      <c r="A1444" s="26" t="s">
        <v>8074</v>
      </c>
      <c r="B1444" s="26"/>
      <c r="C1444" s="26" t="s">
        <v>8075</v>
      </c>
      <c r="D1444" s="26"/>
      <c r="E1444" s="26"/>
    </row>
    <row r="1445" spans="1:5" s="16" customFormat="1" ht="12.95" customHeight="1">
      <c r="A1445" s="26" t="s">
        <v>8076</v>
      </c>
      <c r="B1445" s="26"/>
      <c r="C1445" s="26" t="s">
        <v>8077</v>
      </c>
      <c r="D1445" s="26"/>
      <c r="E1445" s="26"/>
    </row>
    <row r="1446" spans="1:5" s="16" customFormat="1" ht="12.95" customHeight="1">
      <c r="A1446" s="26" t="s">
        <v>8078</v>
      </c>
      <c r="B1446" s="26"/>
      <c r="C1446" s="26" t="s">
        <v>8079</v>
      </c>
      <c r="D1446" s="26"/>
      <c r="E1446" s="26"/>
    </row>
    <row r="1447" spans="1:5" s="16" customFormat="1" ht="12.95" customHeight="1">
      <c r="A1447" s="26" t="s">
        <v>8080</v>
      </c>
      <c r="B1447" s="26"/>
      <c r="C1447" s="26" t="s">
        <v>8081</v>
      </c>
      <c r="D1447" s="26"/>
      <c r="E1447" s="26"/>
    </row>
    <row r="1448" spans="1:5" s="16" customFormat="1" ht="12.95" customHeight="1">
      <c r="A1448" s="26" t="s">
        <v>8082</v>
      </c>
      <c r="B1448" s="26"/>
      <c r="C1448" s="26" t="s">
        <v>8083</v>
      </c>
      <c r="D1448" s="26"/>
      <c r="E1448" s="26"/>
    </row>
    <row r="1449" spans="1:5" s="16" customFormat="1" ht="12.95" customHeight="1">
      <c r="A1449" s="26" t="s">
        <v>8084</v>
      </c>
      <c r="B1449" s="26"/>
      <c r="C1449" s="26" t="s">
        <v>8085</v>
      </c>
      <c r="D1449" s="26"/>
      <c r="E1449" s="26"/>
    </row>
    <row r="1450" spans="1:5" s="16" customFormat="1" ht="12.95" customHeight="1">
      <c r="A1450" s="26" t="s">
        <v>8086</v>
      </c>
      <c r="B1450" s="26"/>
      <c r="C1450" s="26" t="s">
        <v>8087</v>
      </c>
      <c r="D1450" s="26"/>
      <c r="E1450" s="26"/>
    </row>
    <row r="1451" spans="1:5" s="16" customFormat="1" ht="12.95" customHeight="1">
      <c r="A1451" s="26" t="s">
        <v>1486</v>
      </c>
      <c r="B1451" s="26"/>
      <c r="C1451" s="26" t="s">
        <v>8088</v>
      </c>
      <c r="D1451" s="26"/>
      <c r="E1451" s="26"/>
    </row>
    <row r="1452" spans="1:5" s="16" customFormat="1" ht="12.95" customHeight="1">
      <c r="A1452" s="26" t="s">
        <v>8089</v>
      </c>
      <c r="B1452" s="26"/>
      <c r="C1452" s="26" t="s">
        <v>8090</v>
      </c>
      <c r="D1452" s="26"/>
      <c r="E1452" s="26"/>
    </row>
    <row r="1453" spans="1:5" s="16" customFormat="1" ht="12.95" customHeight="1">
      <c r="A1453" s="26" t="s">
        <v>8091</v>
      </c>
      <c r="B1453" s="26"/>
      <c r="C1453" s="26" t="s">
        <v>8092</v>
      </c>
      <c r="D1453" s="26"/>
      <c r="E1453" s="26"/>
    </row>
    <row r="1454" spans="1:5" s="16" customFormat="1" ht="12.95" customHeight="1">
      <c r="A1454" s="26" t="s">
        <v>8093</v>
      </c>
      <c r="B1454" s="26"/>
      <c r="C1454" s="26" t="s">
        <v>8094</v>
      </c>
      <c r="D1454" s="26"/>
      <c r="E1454" s="26"/>
    </row>
    <row r="1455" spans="1:5" s="16" customFormat="1" ht="12.95" customHeight="1">
      <c r="A1455" s="26" t="s">
        <v>8095</v>
      </c>
      <c r="B1455" s="26"/>
      <c r="C1455" s="26" t="s">
        <v>8096</v>
      </c>
      <c r="D1455" s="26"/>
      <c r="E1455" s="26"/>
    </row>
    <row r="1456" spans="1:5" s="16" customFormat="1" ht="12.95" customHeight="1">
      <c r="A1456" s="26" t="s">
        <v>5408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12.95" customHeight="1">
      <c r="A1470" s="26" t="s">
        <v>8124</v>
      </c>
      <c r="B1470" s="26"/>
      <c r="C1470" s="26" t="s">
        <v>8125</v>
      </c>
      <c r="D1470" s="26"/>
      <c r="E1470" s="26"/>
    </row>
    <row r="1471" spans="1:5" s="16" customFormat="1" ht="12.95" customHeight="1">
      <c r="A1471" s="26" t="s">
        <v>8126</v>
      </c>
      <c r="B1471" s="26"/>
      <c r="C1471" s="26" t="s">
        <v>8127</v>
      </c>
      <c r="D1471" s="26"/>
      <c r="E1471" s="26"/>
    </row>
    <row r="1472" spans="1:5" s="16" customFormat="1" ht="12.95" customHeight="1">
      <c r="A1472" s="26" t="s">
        <v>8128</v>
      </c>
      <c r="B1472" s="26"/>
      <c r="C1472" s="26" t="s">
        <v>8129</v>
      </c>
      <c r="D1472" s="26"/>
      <c r="E1472" s="26"/>
    </row>
    <row r="1473" spans="1:5" s="16" customFormat="1" ht="12.95" customHeight="1">
      <c r="A1473" s="26" t="s">
        <v>8130</v>
      </c>
      <c r="B1473" s="26"/>
      <c r="C1473" s="26" t="s">
        <v>8131</v>
      </c>
      <c r="D1473" s="26"/>
      <c r="E1473" s="26"/>
    </row>
    <row r="1474" spans="1:5" s="16" customFormat="1" ht="12.95" customHeight="1">
      <c r="A1474" s="26" t="s">
        <v>268</v>
      </c>
      <c r="B1474" s="26"/>
      <c r="C1474" s="26" t="s">
        <v>8132</v>
      </c>
      <c r="D1474" s="26"/>
      <c r="E1474" s="26"/>
    </row>
    <row r="1475" spans="1:5" s="16" customFormat="1" ht="26.1" customHeight="1">
      <c r="A1475" s="26" t="s">
        <v>8133</v>
      </c>
      <c r="B1475" s="26"/>
      <c r="C1475" s="26" t="s">
        <v>8134</v>
      </c>
      <c r="D1475" s="26"/>
      <c r="E1475" s="26"/>
    </row>
    <row r="1476" spans="1:5" s="16" customFormat="1" ht="12.95" customHeight="1">
      <c r="A1476" s="26" t="s">
        <v>1644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8142</v>
      </c>
      <c r="B1480" s="26"/>
      <c r="C1480" s="26" t="s">
        <v>8143</v>
      </c>
      <c r="D1480" s="26"/>
      <c r="E1480" s="26"/>
    </row>
    <row r="1481" spans="1:5" s="16" customFormat="1" ht="12.95" customHeight="1">
      <c r="A1481" s="26" t="s">
        <v>8144</v>
      </c>
      <c r="B1481" s="26"/>
      <c r="C1481" s="26" t="s">
        <v>8145</v>
      </c>
      <c r="D1481" s="26"/>
      <c r="E1481" s="26"/>
    </row>
    <row r="1482" spans="1:5" s="16" customFormat="1" ht="12.95" customHeight="1">
      <c r="A1482" s="26" t="s">
        <v>8146</v>
      </c>
      <c r="B1482" s="26"/>
      <c r="C1482" s="26" t="s">
        <v>8147</v>
      </c>
      <c r="D1482" s="26"/>
      <c r="E1482" s="26"/>
    </row>
    <row r="1483" spans="1:5" s="16" customFormat="1" ht="12.95" customHeight="1">
      <c r="A1483" s="26" t="s">
        <v>8148</v>
      </c>
      <c r="B1483" s="26"/>
      <c r="C1483" s="26" t="s">
        <v>8149</v>
      </c>
      <c r="D1483" s="26"/>
      <c r="E1483" s="26"/>
    </row>
    <row r="1484" spans="1:5" s="16" customFormat="1" ht="12.95" customHeight="1">
      <c r="A1484" s="26" t="s">
        <v>8150</v>
      </c>
      <c r="B1484" s="26"/>
      <c r="C1484" s="26" t="s">
        <v>8151</v>
      </c>
      <c r="D1484" s="26"/>
      <c r="E1484" s="26"/>
    </row>
    <row r="1485" spans="1:5" s="16" customFormat="1" ht="12.95" customHeight="1">
      <c r="A1485" s="26" t="s">
        <v>8152</v>
      </c>
      <c r="B1485" s="26"/>
      <c r="C1485" s="26" t="s">
        <v>8153</v>
      </c>
      <c r="D1485" s="26"/>
      <c r="E1485" s="26"/>
    </row>
    <row r="1486" spans="1:5" s="16" customFormat="1" ht="12.95" customHeight="1">
      <c r="A1486" s="26" t="s">
        <v>8154</v>
      </c>
      <c r="B1486" s="26"/>
      <c r="C1486" s="26" t="s">
        <v>8155</v>
      </c>
      <c r="D1486" s="26"/>
      <c r="E1486" s="26"/>
    </row>
    <row r="1487" spans="1:5" s="16" customFormat="1" ht="12.95" customHeight="1">
      <c r="A1487" s="26" t="s">
        <v>8156</v>
      </c>
      <c r="B1487" s="26"/>
      <c r="C1487" s="26" t="s">
        <v>8157</v>
      </c>
      <c r="D1487" s="26"/>
      <c r="E1487" s="26"/>
    </row>
    <row r="1488" spans="1:5" s="16" customFormat="1" ht="12.95" customHeight="1">
      <c r="A1488" s="26" t="s">
        <v>8158</v>
      </c>
      <c r="B1488" s="26"/>
      <c r="C1488" s="26" t="s">
        <v>8159</v>
      </c>
      <c r="D1488" s="26"/>
      <c r="E1488" s="26"/>
    </row>
    <row r="1489" spans="1:5" s="16" customFormat="1" ht="12.95" customHeight="1">
      <c r="A1489" s="26" t="s">
        <v>8160</v>
      </c>
      <c r="B1489" s="26"/>
      <c r="C1489" s="26" t="s">
        <v>8161</v>
      </c>
      <c r="D1489" s="26"/>
      <c r="E1489" s="26"/>
    </row>
    <row r="1490" spans="1:5" s="16" customFormat="1" ht="12.95" customHeight="1">
      <c r="A1490" s="26" t="s">
        <v>8162</v>
      </c>
      <c r="B1490" s="26"/>
      <c r="C1490" s="26" t="s">
        <v>8163</v>
      </c>
      <c r="D1490" s="26"/>
      <c r="E1490" s="26"/>
    </row>
    <row r="1491" spans="1:5" s="16" customFormat="1" ht="12.95" customHeight="1">
      <c r="A1491" s="26" t="s">
        <v>8164</v>
      </c>
      <c r="B1491" s="26"/>
      <c r="C1491" s="26" t="s">
        <v>8165</v>
      </c>
      <c r="D1491" s="26"/>
      <c r="E1491" s="26"/>
    </row>
    <row r="1492" spans="1:5" s="16" customFormat="1" ht="12.95" customHeight="1">
      <c r="A1492" s="26" t="s">
        <v>8166</v>
      </c>
      <c r="B1492" s="26"/>
      <c r="C1492" s="26" t="s">
        <v>8167</v>
      </c>
      <c r="D1492" s="26"/>
      <c r="E1492" s="26"/>
    </row>
    <row r="1493" spans="1:5" s="16" customFormat="1" ht="12.95" customHeight="1">
      <c r="A1493" s="26" t="s">
        <v>8168</v>
      </c>
      <c r="B1493" s="26"/>
      <c r="C1493" s="26" t="s">
        <v>8169</v>
      </c>
      <c r="D1493" s="26"/>
      <c r="E1493" s="26"/>
    </row>
    <row r="1494" spans="1:5" s="16" customFormat="1" ht="12.95" customHeight="1">
      <c r="A1494" s="26" t="s">
        <v>8170</v>
      </c>
      <c r="B1494" s="26"/>
      <c r="C1494" s="26" t="s">
        <v>8171</v>
      </c>
      <c r="D1494" s="26"/>
      <c r="E1494" s="26"/>
    </row>
    <row r="1495" spans="1:5" s="16" customFormat="1" ht="12.95" customHeight="1">
      <c r="A1495" s="26" t="s">
        <v>8172</v>
      </c>
      <c r="B1495" s="26"/>
      <c r="C1495" s="26" t="s">
        <v>8173</v>
      </c>
      <c r="D1495" s="26"/>
      <c r="E1495" s="26"/>
    </row>
    <row r="1496" spans="1:5" s="16" customFormat="1" ht="12.95" customHeight="1">
      <c r="A1496" s="26" t="s">
        <v>8174</v>
      </c>
      <c r="B1496" s="26"/>
      <c r="C1496" s="26" t="s">
        <v>8175</v>
      </c>
      <c r="D1496" s="26"/>
      <c r="E1496" s="26"/>
    </row>
    <row r="1497" spans="1:5" s="16" customFormat="1" ht="12.95" customHeight="1">
      <c r="A1497" s="26" t="s">
        <v>8176</v>
      </c>
      <c r="B1497" s="26"/>
      <c r="C1497" s="26" t="s">
        <v>8177</v>
      </c>
      <c r="D1497" s="26"/>
      <c r="E1497" s="26"/>
    </row>
    <row r="1498" spans="1:5" s="16" customFormat="1" ht="12.95" customHeight="1">
      <c r="A1498" s="26" t="s">
        <v>8178</v>
      </c>
      <c r="B1498" s="26"/>
      <c r="C1498" s="26" t="s">
        <v>8179</v>
      </c>
      <c r="D1498" s="26"/>
      <c r="E1498" s="26"/>
    </row>
    <row r="1499" spans="1:5" s="16" customFormat="1" ht="12.95" customHeight="1">
      <c r="A1499" s="26" t="s">
        <v>8180</v>
      </c>
      <c r="B1499" s="26"/>
      <c r="C1499" s="26" t="s">
        <v>8181</v>
      </c>
      <c r="D1499" s="26"/>
      <c r="E1499" s="26"/>
    </row>
    <row r="1500" spans="1:5" s="16" customFormat="1" ht="12.95" customHeight="1">
      <c r="A1500" s="26" t="s">
        <v>8182</v>
      </c>
      <c r="B1500" s="26"/>
      <c r="C1500" s="26" t="s">
        <v>8183</v>
      </c>
      <c r="D1500" s="26"/>
      <c r="E1500" s="26"/>
    </row>
    <row r="1501" spans="1:5" s="16" customFormat="1" ht="12.95" customHeight="1">
      <c r="A1501" s="26" t="s">
        <v>8184</v>
      </c>
      <c r="B1501" s="26"/>
      <c r="C1501" s="26" t="s">
        <v>8185</v>
      </c>
      <c r="D1501" s="26"/>
      <c r="E1501" s="26"/>
    </row>
    <row r="1502" spans="1:5" s="16" customFormat="1" ht="12.95" customHeight="1">
      <c r="A1502" s="26" t="s">
        <v>3661</v>
      </c>
      <c r="B1502" s="26"/>
      <c r="C1502" s="26" t="s">
        <v>8186</v>
      </c>
      <c r="D1502" s="26"/>
      <c r="E1502" s="26"/>
    </row>
    <row r="1503" spans="1:5" s="16" customFormat="1" ht="12.95" customHeight="1">
      <c r="A1503" s="26" t="s">
        <v>8187</v>
      </c>
      <c r="B1503" s="26"/>
      <c r="C1503" s="26" t="s">
        <v>8188</v>
      </c>
      <c r="D1503" s="26"/>
      <c r="E1503" s="26"/>
    </row>
    <row r="1504" spans="1:5" s="16" customFormat="1" ht="12.95" customHeight="1">
      <c r="A1504" s="26" t="s">
        <v>3667</v>
      </c>
      <c r="B1504" s="26"/>
      <c r="C1504" s="26" t="s">
        <v>8189</v>
      </c>
      <c r="D1504" s="26"/>
      <c r="E1504" s="26"/>
    </row>
    <row r="1505" spans="1:5" s="16" customFormat="1" ht="12.95" customHeight="1">
      <c r="A1505" s="26" t="s">
        <v>8190</v>
      </c>
      <c r="B1505" s="26"/>
      <c r="C1505" s="26" t="s">
        <v>8191</v>
      </c>
      <c r="D1505" s="26"/>
      <c r="E1505" s="26"/>
    </row>
    <row r="1506" spans="1:5" s="16" customFormat="1" ht="12.95" customHeight="1">
      <c r="A1506" s="26" t="s">
        <v>8192</v>
      </c>
      <c r="B1506" s="26"/>
      <c r="C1506" s="26" t="s">
        <v>8193</v>
      </c>
      <c r="D1506" s="26"/>
      <c r="E1506" s="26"/>
    </row>
    <row r="1507" spans="1:5" s="16" customFormat="1" ht="12.95" customHeight="1">
      <c r="A1507" s="26" t="s">
        <v>8194</v>
      </c>
      <c r="B1507" s="26"/>
      <c r="C1507" s="26" t="s">
        <v>8186</v>
      </c>
      <c r="D1507" s="26"/>
      <c r="E1507" s="26"/>
    </row>
    <row r="1508" spans="1:5" s="16" customFormat="1" ht="12.95" customHeight="1">
      <c r="A1508" s="26" t="s">
        <v>8195</v>
      </c>
      <c r="B1508" s="26"/>
      <c r="C1508" s="26" t="s">
        <v>8189</v>
      </c>
      <c r="D1508" s="26"/>
      <c r="E1508" s="26"/>
    </row>
    <row r="1509" spans="1:5" s="16" customFormat="1" ht="12.95" customHeight="1">
      <c r="A1509" s="26" t="s">
        <v>8196</v>
      </c>
      <c r="B1509" s="26"/>
      <c r="C1509" s="26" t="s">
        <v>8191</v>
      </c>
      <c r="D1509" s="26"/>
      <c r="E1509" s="26"/>
    </row>
    <row r="1510" spans="1:5" s="16" customFormat="1" ht="12.95" customHeight="1">
      <c r="A1510" s="26" t="s">
        <v>8197</v>
      </c>
      <c r="B1510" s="26"/>
      <c r="C1510" s="26" t="s">
        <v>8198</v>
      </c>
      <c r="D1510" s="26"/>
      <c r="E1510" s="26"/>
    </row>
    <row r="1511" spans="1:5" s="16" customFormat="1" ht="12.95" customHeight="1">
      <c r="A1511" s="26" t="s">
        <v>8197</v>
      </c>
      <c r="B1511" s="26"/>
      <c r="C1511" s="26" t="s">
        <v>8198</v>
      </c>
      <c r="D1511" s="26"/>
      <c r="E1511" s="26"/>
    </row>
    <row r="1512" spans="1:5" s="16" customFormat="1" ht="12.95" customHeight="1">
      <c r="A1512" s="26" t="s">
        <v>8199</v>
      </c>
      <c r="B1512" s="26"/>
      <c r="C1512" s="26" t="s">
        <v>8200</v>
      </c>
      <c r="D1512" s="26"/>
      <c r="E1512" s="26"/>
    </row>
    <row r="1513" spans="1:5" s="16" customFormat="1" ht="12.95" customHeight="1">
      <c r="A1513" s="26" t="s">
        <v>8201</v>
      </c>
      <c r="B1513" s="26"/>
      <c r="C1513" s="26" t="s">
        <v>8202</v>
      </c>
      <c r="D1513" s="26"/>
      <c r="E1513" s="26"/>
    </row>
    <row r="1514" spans="1:5" s="16" customFormat="1" ht="12.95" customHeight="1">
      <c r="A1514" s="26" t="s">
        <v>8203</v>
      </c>
      <c r="B1514" s="26"/>
      <c r="C1514" s="26" t="s">
        <v>8204</v>
      </c>
      <c r="D1514" s="26"/>
      <c r="E1514" s="26"/>
    </row>
    <row r="1515" spans="1:5" s="16" customFormat="1" ht="12.95" customHeight="1">
      <c r="A1515" s="26" t="s">
        <v>243</v>
      </c>
      <c r="B1515" s="26"/>
      <c r="C1515" s="26" t="s">
        <v>8205</v>
      </c>
      <c r="D1515" s="26"/>
      <c r="E1515" s="26"/>
    </row>
    <row r="1516" spans="1:5" s="16" customFormat="1" ht="12.95" customHeight="1">
      <c r="A1516" s="26" t="s">
        <v>8206</v>
      </c>
      <c r="B1516" s="26"/>
      <c r="C1516" s="26" t="s">
        <v>8207</v>
      </c>
      <c r="D1516" s="26"/>
      <c r="E1516" s="26"/>
    </row>
    <row r="1517" spans="1:5" s="16" customFormat="1" ht="12.95" customHeight="1">
      <c r="A1517" s="26" t="s">
        <v>8208</v>
      </c>
      <c r="B1517" s="26"/>
      <c r="C1517" s="26" t="s">
        <v>8209</v>
      </c>
      <c r="D1517" s="26"/>
      <c r="E1517" s="26"/>
    </row>
    <row r="1518" spans="1:5" s="16" customFormat="1" ht="12.95" customHeight="1">
      <c r="A1518" s="26" t="s">
        <v>8210</v>
      </c>
      <c r="B1518" s="26"/>
      <c r="C1518" s="26" t="s">
        <v>8211</v>
      </c>
      <c r="D1518" s="26"/>
      <c r="E1518" s="26"/>
    </row>
    <row r="1519" spans="1:5" s="16" customFormat="1" ht="12.95" customHeight="1">
      <c r="A1519" s="26" t="s">
        <v>6622</v>
      </c>
      <c r="B1519" s="26"/>
      <c r="C1519" s="26" t="s">
        <v>8212</v>
      </c>
      <c r="D1519" s="26"/>
      <c r="E1519" s="26"/>
    </row>
    <row r="1520" spans="1:5" s="16" customFormat="1" ht="12.95" customHeight="1">
      <c r="A1520" s="26" t="s">
        <v>8213</v>
      </c>
      <c r="B1520" s="26"/>
      <c r="C1520" s="26" t="s">
        <v>8214</v>
      </c>
      <c r="D1520" s="26"/>
      <c r="E1520" s="26"/>
    </row>
    <row r="1521" spans="1:5" s="16" customFormat="1" ht="12.95" customHeight="1">
      <c r="A1521" s="26" t="s">
        <v>8213</v>
      </c>
      <c r="B1521" s="26"/>
      <c r="C1521" s="26" t="s">
        <v>8214</v>
      </c>
      <c r="D1521" s="26"/>
      <c r="E1521" s="26"/>
    </row>
    <row r="1522" spans="1:5" s="16" customFormat="1" ht="12.95" customHeight="1">
      <c r="A1522" s="26" t="s">
        <v>8215</v>
      </c>
      <c r="B1522" s="26"/>
      <c r="C1522" s="26" t="s">
        <v>8216</v>
      </c>
      <c r="D1522" s="26"/>
      <c r="E1522" s="26"/>
    </row>
    <row r="1523" spans="1:5" s="16" customFormat="1" ht="12.95" customHeight="1">
      <c r="A1523" s="26" t="s">
        <v>8217</v>
      </c>
      <c r="B1523" s="26"/>
      <c r="C1523" s="26" t="s">
        <v>8218</v>
      </c>
      <c r="D1523" s="26"/>
      <c r="E1523" s="26"/>
    </row>
    <row r="1524" spans="1:5" s="16" customFormat="1" ht="12.95" customHeight="1">
      <c r="A1524" s="26" t="s">
        <v>8219</v>
      </c>
      <c r="B1524" s="26"/>
      <c r="C1524" s="26" t="s">
        <v>8220</v>
      </c>
      <c r="D1524" s="26"/>
      <c r="E1524" s="26"/>
    </row>
    <row r="1525" spans="1:5" s="16" customFormat="1" ht="12.95" customHeight="1">
      <c r="A1525" s="26" t="s">
        <v>8221</v>
      </c>
      <c r="B1525" s="26"/>
      <c r="C1525" s="26" t="s">
        <v>8222</v>
      </c>
      <c r="D1525" s="26"/>
      <c r="E1525" s="26"/>
    </row>
    <row r="1526" spans="1:5" s="16" customFormat="1" ht="12.95" customHeight="1">
      <c r="A1526" s="26" t="s">
        <v>8223</v>
      </c>
      <c r="B1526" s="26"/>
      <c r="C1526" s="26" t="s">
        <v>8224</v>
      </c>
      <c r="D1526" s="26"/>
      <c r="E1526" s="26"/>
    </row>
    <row r="1527" spans="1:5" s="16" customFormat="1" ht="12.95" customHeight="1">
      <c r="A1527" s="26" t="s">
        <v>4815</v>
      </c>
      <c r="B1527" s="26"/>
      <c r="C1527" s="26" t="s">
        <v>8225</v>
      </c>
      <c r="D1527" s="26"/>
      <c r="E1527" s="26"/>
    </row>
    <row r="1528" spans="1:5" s="16" customFormat="1" ht="12.95" customHeight="1">
      <c r="A1528" s="26" t="s">
        <v>553</v>
      </c>
      <c r="B1528" s="26"/>
      <c r="C1528" s="26" t="s">
        <v>8226</v>
      </c>
      <c r="D1528" s="26"/>
      <c r="E1528" s="26"/>
    </row>
    <row r="1529" spans="1:5" s="16" customFormat="1" ht="12.95" customHeight="1">
      <c r="A1529" s="26" t="s">
        <v>8227</v>
      </c>
      <c r="B1529" s="26"/>
      <c r="C1529" s="26" t="s">
        <v>8228</v>
      </c>
      <c r="D1529" s="26"/>
      <c r="E1529" s="26"/>
    </row>
    <row r="1530" spans="1:5" s="16" customFormat="1" ht="12.95" customHeight="1">
      <c r="A1530" s="26" t="s">
        <v>8229</v>
      </c>
      <c r="B1530" s="26"/>
      <c r="C1530" s="26" t="s">
        <v>8230</v>
      </c>
      <c r="D1530" s="26"/>
      <c r="E1530" s="26"/>
    </row>
    <row r="1531" spans="1:5" s="16" customFormat="1" ht="12.95" customHeight="1">
      <c r="A1531" s="26" t="s">
        <v>4347</v>
      </c>
      <c r="B1531" s="26"/>
      <c r="C1531" s="26" t="s">
        <v>8231</v>
      </c>
      <c r="D1531" s="26"/>
      <c r="E1531" s="26"/>
    </row>
    <row r="1532" spans="1:5" s="16" customFormat="1" ht="12.95" customHeight="1">
      <c r="A1532" s="26" t="s">
        <v>515</v>
      </c>
      <c r="B1532" s="26"/>
      <c r="C1532" s="26" t="s">
        <v>8232</v>
      </c>
      <c r="D1532" s="26"/>
      <c r="E1532" s="26"/>
    </row>
    <row r="1533" spans="1:5" s="16" customFormat="1" ht="12.95" customHeight="1">
      <c r="A1533" s="26" t="s">
        <v>8233</v>
      </c>
      <c r="B1533" s="26"/>
      <c r="C1533" s="26" t="s">
        <v>8234</v>
      </c>
      <c r="D1533" s="26"/>
      <c r="E1533" s="26"/>
    </row>
    <row r="1534" spans="1:5" s="16" customFormat="1" ht="12.95" customHeight="1">
      <c r="A1534" s="26" t="s">
        <v>8235</v>
      </c>
      <c r="B1534" s="26"/>
      <c r="C1534" s="26" t="s">
        <v>8236</v>
      </c>
      <c r="D1534" s="26"/>
      <c r="E1534" s="26"/>
    </row>
    <row r="1535" spans="1:5" s="16" customFormat="1" ht="12.95" customHeight="1">
      <c r="A1535" s="26" t="s">
        <v>8237</v>
      </c>
      <c r="B1535" s="26"/>
      <c r="C1535" s="26" t="s">
        <v>8238</v>
      </c>
      <c r="D1535" s="26"/>
      <c r="E1535" s="26"/>
    </row>
    <row r="1536" spans="1:5" s="16" customFormat="1" ht="12.95" customHeight="1">
      <c r="A1536" s="26" t="s">
        <v>8239</v>
      </c>
      <c r="B1536" s="26"/>
      <c r="C1536" s="26" t="s">
        <v>8240</v>
      </c>
      <c r="D1536" s="26"/>
      <c r="E1536" s="26"/>
    </row>
    <row r="1537" spans="1:5" s="16" customFormat="1" ht="12.95" customHeight="1">
      <c r="A1537" s="26" t="s">
        <v>8241</v>
      </c>
      <c r="B1537" s="26"/>
      <c r="C1537" s="26" t="s">
        <v>8242</v>
      </c>
      <c r="D1537" s="26"/>
      <c r="E1537" s="26"/>
    </row>
    <row r="1538" spans="1:5" s="16" customFormat="1" ht="12.95" customHeight="1">
      <c r="A1538" s="26" t="s">
        <v>8243</v>
      </c>
      <c r="B1538" s="26"/>
      <c r="C1538" s="26" t="s">
        <v>8232</v>
      </c>
      <c r="D1538" s="26"/>
      <c r="E1538" s="26"/>
    </row>
    <row r="1539" spans="1:5" s="16" customFormat="1" ht="12.95" customHeight="1">
      <c r="A1539" s="26" t="s">
        <v>8244</v>
      </c>
      <c r="B1539" s="26"/>
      <c r="C1539" s="26" t="s">
        <v>8245</v>
      </c>
      <c r="D1539" s="26"/>
      <c r="E1539" s="26"/>
    </row>
    <row r="1540" spans="1:5" s="16" customFormat="1" ht="12.95" customHeight="1">
      <c r="A1540" s="26" t="s">
        <v>8246</v>
      </c>
      <c r="B1540" s="26"/>
      <c r="C1540" s="26" t="s">
        <v>8247</v>
      </c>
      <c r="D1540" s="26"/>
      <c r="E1540" s="26"/>
    </row>
    <row r="1541" spans="1:5" s="16" customFormat="1" ht="12.95" customHeight="1">
      <c r="A1541" s="26" t="s">
        <v>8248</v>
      </c>
      <c r="B1541" s="26"/>
      <c r="C1541" s="26" t="s">
        <v>8249</v>
      </c>
      <c r="D1541" s="26"/>
      <c r="E1541" s="26"/>
    </row>
    <row r="1542" spans="1:5" s="16" customFormat="1" ht="12.95" customHeight="1">
      <c r="A1542" s="26" t="s">
        <v>8250</v>
      </c>
      <c r="B1542" s="26"/>
      <c r="C1542" s="26" t="s">
        <v>8251</v>
      </c>
      <c r="D1542" s="26"/>
      <c r="E1542" s="26"/>
    </row>
    <row r="1543" spans="1:5" s="16" customFormat="1" ht="12.95" customHeight="1">
      <c r="A1543" s="26" t="s">
        <v>8252</v>
      </c>
      <c r="B1543" s="26"/>
      <c r="C1543" s="26" t="s">
        <v>8253</v>
      </c>
      <c r="D1543" s="26"/>
      <c r="E1543" s="26"/>
    </row>
    <row r="1544" spans="1:5" s="16" customFormat="1" ht="12.95" customHeight="1">
      <c r="A1544" s="26" t="s">
        <v>8254</v>
      </c>
      <c r="B1544" s="26"/>
      <c r="C1544" s="26" t="s">
        <v>8251</v>
      </c>
      <c r="D1544" s="26"/>
      <c r="E1544" s="26"/>
    </row>
    <row r="1545" spans="1:5" s="16" customFormat="1" ht="12.95" customHeight="1">
      <c r="A1545" s="26" t="s">
        <v>8255</v>
      </c>
      <c r="B1545" s="26"/>
      <c r="C1545" s="26" t="s">
        <v>8256</v>
      </c>
      <c r="D1545" s="26"/>
      <c r="E1545" s="26"/>
    </row>
    <row r="1546" spans="1:5" s="16" customFormat="1" ht="12.95" customHeight="1">
      <c r="A1546" s="26" t="s">
        <v>4430</v>
      </c>
      <c r="B1546" s="26"/>
      <c r="C1546" s="26" t="s">
        <v>8257</v>
      </c>
      <c r="D1546" s="26"/>
      <c r="E1546" s="26"/>
    </row>
    <row r="1547" spans="1:5" s="16" customFormat="1" ht="12.95" customHeight="1">
      <c r="A1547" s="26" t="s">
        <v>8258</v>
      </c>
      <c r="B1547" s="26"/>
      <c r="C1547" s="26" t="s">
        <v>8259</v>
      </c>
      <c r="D1547" s="26"/>
      <c r="E1547" s="26"/>
    </row>
    <row r="1548" spans="1:5" s="16" customFormat="1" ht="12.95" customHeight="1">
      <c r="A1548" s="26" t="s">
        <v>8260</v>
      </c>
      <c r="B1548" s="26"/>
      <c r="C1548" s="26" t="s">
        <v>8261</v>
      </c>
      <c r="D1548" s="26"/>
      <c r="E1548" s="26"/>
    </row>
    <row r="1549" spans="1:5" s="16" customFormat="1" ht="12.95" customHeight="1">
      <c r="A1549" s="26" t="s">
        <v>1697</v>
      </c>
      <c r="B1549" s="26"/>
      <c r="C1549" s="26" t="s">
        <v>8262</v>
      </c>
      <c r="D1549" s="26"/>
      <c r="E1549" s="26"/>
    </row>
    <row r="1550" spans="1:5" s="16" customFormat="1" ht="12.95" customHeight="1">
      <c r="A1550" s="26" t="s">
        <v>8263</v>
      </c>
      <c r="B1550" s="26"/>
      <c r="C1550" s="26" t="s">
        <v>8264</v>
      </c>
      <c r="D1550" s="26"/>
      <c r="E1550" s="26"/>
    </row>
    <row r="1551" spans="1:5" s="16" customFormat="1" ht="12.95" customHeight="1">
      <c r="A1551" s="26" t="s">
        <v>8265</v>
      </c>
      <c r="B1551" s="26"/>
      <c r="C1551" s="26" t="s">
        <v>8262</v>
      </c>
      <c r="D1551" s="26"/>
      <c r="E1551" s="26"/>
    </row>
    <row r="1552" spans="1:5" s="16" customFormat="1" ht="12.95" customHeight="1">
      <c r="A1552" s="26" t="s">
        <v>8266</v>
      </c>
      <c r="B1552" s="26"/>
      <c r="C1552" s="26" t="s">
        <v>8267</v>
      </c>
      <c r="D1552" s="26"/>
      <c r="E1552" s="26"/>
    </row>
    <row r="1553" spans="1:5" s="16" customFormat="1" ht="12.95" customHeight="1">
      <c r="A1553" s="26" t="s">
        <v>8268</v>
      </c>
      <c r="B1553" s="26"/>
      <c r="C1553" s="26" t="s">
        <v>8269</v>
      </c>
      <c r="D1553" s="26"/>
      <c r="E1553" s="26"/>
    </row>
    <row r="1554" spans="1:5" s="16" customFormat="1" ht="12.95" customHeight="1">
      <c r="A1554" s="26" t="s">
        <v>8270</v>
      </c>
      <c r="B1554" s="26"/>
      <c r="C1554" s="26" t="s">
        <v>8271</v>
      </c>
      <c r="D1554" s="26"/>
      <c r="E1554" s="26"/>
    </row>
    <row r="1555" spans="1:5" s="16" customFormat="1" ht="12.95" customHeight="1">
      <c r="A1555" s="26" t="s">
        <v>8272</v>
      </c>
      <c r="B1555" s="26"/>
      <c r="C1555" s="26" t="s">
        <v>8273</v>
      </c>
      <c r="D1555" s="26"/>
      <c r="E1555" s="26"/>
    </row>
    <row r="1556" spans="1:5" s="16" customFormat="1" ht="12.95" customHeight="1">
      <c r="A1556" s="26" t="s">
        <v>8274</v>
      </c>
      <c r="B1556" s="26"/>
      <c r="C1556" s="26" t="s">
        <v>8275</v>
      </c>
      <c r="D1556" s="26"/>
      <c r="E1556" s="26"/>
    </row>
    <row r="1557" spans="1:5" s="16" customFormat="1" ht="12.95" customHeight="1">
      <c r="A1557" s="26" t="s">
        <v>8276</v>
      </c>
      <c r="B1557" s="26"/>
      <c r="C1557" s="26" t="s">
        <v>8277</v>
      </c>
      <c r="D1557" s="26"/>
      <c r="E1557" s="26"/>
    </row>
    <row r="1558" spans="1:5" s="16" customFormat="1" ht="12.95" customHeight="1">
      <c r="A1558" s="26" t="s">
        <v>8278</v>
      </c>
      <c r="B1558" s="26"/>
      <c r="C1558" s="26" t="s">
        <v>8279</v>
      </c>
      <c r="D1558" s="26"/>
      <c r="E1558" s="26"/>
    </row>
    <row r="1559" spans="1:5" s="16" customFormat="1" ht="12.95" customHeight="1">
      <c r="A1559" s="26" t="s">
        <v>8280</v>
      </c>
      <c r="B1559" s="26"/>
      <c r="C1559" s="26" t="s">
        <v>8281</v>
      </c>
      <c r="D1559" s="26"/>
      <c r="E1559" s="26"/>
    </row>
    <row r="1560" spans="1:5" s="16" customFormat="1" ht="12.95" customHeight="1">
      <c r="A1560" s="26" t="s">
        <v>8282</v>
      </c>
      <c r="B1560" s="26"/>
      <c r="C1560" s="26" t="s">
        <v>8283</v>
      </c>
      <c r="D1560" s="26"/>
      <c r="E1560" s="26"/>
    </row>
    <row r="1561" spans="1:5" s="16" customFormat="1" ht="12.95" customHeight="1">
      <c r="A1561" s="26" t="s">
        <v>8284</v>
      </c>
      <c r="B1561" s="26"/>
      <c r="C1561" s="26" t="s">
        <v>8285</v>
      </c>
      <c r="D1561" s="26"/>
      <c r="E1561" s="26"/>
    </row>
    <row r="1562" spans="1:5" s="16" customFormat="1" ht="12.95" customHeight="1">
      <c r="A1562" s="26" t="s">
        <v>8286</v>
      </c>
      <c r="B1562" s="26"/>
      <c r="C1562" s="26" t="s">
        <v>8287</v>
      </c>
      <c r="D1562" s="26"/>
      <c r="E1562" s="26"/>
    </row>
    <row r="1563" spans="1:5" s="16" customFormat="1" ht="12.95" customHeight="1">
      <c r="A1563" s="26" t="s">
        <v>8288</v>
      </c>
      <c r="B1563" s="26"/>
      <c r="C1563" s="26" t="s">
        <v>8289</v>
      </c>
      <c r="D1563" s="26"/>
      <c r="E1563" s="26"/>
    </row>
    <row r="1564" spans="1:5" s="16" customFormat="1" ht="12.95" customHeight="1">
      <c r="A1564" s="26" t="s">
        <v>8290</v>
      </c>
      <c r="B1564" s="26"/>
      <c r="C1564" s="26" t="s">
        <v>8291</v>
      </c>
      <c r="D1564" s="26"/>
      <c r="E1564" s="26"/>
    </row>
    <row r="1565" spans="1:5" s="16" customFormat="1" ht="12.95" customHeight="1">
      <c r="A1565" s="26" t="s">
        <v>8292</v>
      </c>
      <c r="B1565" s="26"/>
      <c r="C1565" s="26" t="s">
        <v>8293</v>
      </c>
      <c r="D1565" s="26"/>
      <c r="E1565" s="26"/>
    </row>
    <row r="1566" spans="1:5" s="16" customFormat="1" ht="12.95" customHeight="1">
      <c r="A1566" s="26" t="s">
        <v>2691</v>
      </c>
      <c r="B1566" s="26"/>
      <c r="C1566" s="26" t="s">
        <v>8294</v>
      </c>
      <c r="D1566" s="26"/>
      <c r="E1566" s="26"/>
    </row>
    <row r="1567" spans="1:5" s="16" customFormat="1" ht="12.95" customHeight="1">
      <c r="A1567" s="26" t="s">
        <v>320</v>
      </c>
      <c r="B1567" s="26"/>
      <c r="C1567" s="26" t="s">
        <v>8295</v>
      </c>
      <c r="D1567" s="26"/>
      <c r="E1567" s="26"/>
    </row>
    <row r="1568" spans="1:5" s="16" customFormat="1" ht="12.95" customHeight="1">
      <c r="A1568" s="26" t="s">
        <v>4248</v>
      </c>
      <c r="B1568" s="26"/>
      <c r="C1568" s="26" t="s">
        <v>8296</v>
      </c>
      <c r="D1568" s="26"/>
      <c r="E1568" s="26"/>
    </row>
    <row r="1569" spans="1:5" s="16" customFormat="1" ht="12.95" customHeight="1">
      <c r="A1569" s="26" t="s">
        <v>8297</v>
      </c>
      <c r="B1569" s="26"/>
      <c r="C1569" s="26" t="s">
        <v>8298</v>
      </c>
      <c r="D1569" s="26"/>
      <c r="E1569" s="26"/>
    </row>
    <row r="1570" spans="1:5" s="16" customFormat="1" ht="12.95" customHeight="1">
      <c r="A1570" s="26" t="s">
        <v>8299</v>
      </c>
      <c r="B1570" s="26"/>
      <c r="C1570" s="26" t="s">
        <v>8300</v>
      </c>
      <c r="D1570" s="26"/>
      <c r="E1570" s="26"/>
    </row>
    <row r="1571" spans="1:5" s="16" customFormat="1" ht="12.95" customHeight="1">
      <c r="A1571" s="26" t="s">
        <v>1544</v>
      </c>
      <c r="B1571" s="26"/>
      <c r="C1571" s="26" t="s">
        <v>8301</v>
      </c>
      <c r="D1571" s="26"/>
      <c r="E1571" s="26"/>
    </row>
    <row r="1572" spans="1:5" s="16" customFormat="1" ht="12.95" customHeight="1">
      <c r="A1572" s="26" t="s">
        <v>1046</v>
      </c>
      <c r="B1572" s="26"/>
      <c r="C1572" s="26" t="s">
        <v>8302</v>
      </c>
      <c r="D1572" s="26"/>
      <c r="E1572" s="26"/>
    </row>
    <row r="1573" spans="1:5" s="16" customFormat="1" ht="12.95" customHeight="1">
      <c r="A1573" s="26" t="s">
        <v>8303</v>
      </c>
      <c r="B1573" s="26"/>
      <c r="C1573" s="26" t="s">
        <v>8304</v>
      </c>
      <c r="D1573" s="26"/>
      <c r="E1573" s="26"/>
    </row>
    <row r="1574" spans="1:5" s="16" customFormat="1" ht="12.95" customHeight="1">
      <c r="A1574" s="26" t="s">
        <v>1333</v>
      </c>
      <c r="B1574" s="26"/>
      <c r="C1574" s="26" t="s">
        <v>8305</v>
      </c>
      <c r="D1574" s="26"/>
      <c r="E1574" s="26"/>
    </row>
    <row r="1575" spans="1:5" s="16" customFormat="1" ht="12.95" customHeight="1">
      <c r="A1575" s="26" t="s">
        <v>1771</v>
      </c>
      <c r="B1575" s="26"/>
      <c r="C1575" s="26" t="s">
        <v>8306</v>
      </c>
      <c r="D1575" s="26"/>
      <c r="E1575" s="26"/>
    </row>
    <row r="1576" spans="1:5" s="16" customFormat="1" ht="12.95" customHeight="1">
      <c r="A1576" s="26" t="s">
        <v>8307</v>
      </c>
      <c r="B1576" s="26"/>
      <c r="C1576" s="26" t="s">
        <v>8308</v>
      </c>
      <c r="D1576" s="26"/>
      <c r="E1576" s="26"/>
    </row>
    <row r="1577" spans="1:5" s="16" customFormat="1" ht="12.95" customHeight="1">
      <c r="A1577" s="26" t="s">
        <v>8309</v>
      </c>
      <c r="B1577" s="26"/>
      <c r="C1577" s="26" t="s">
        <v>8310</v>
      </c>
      <c r="D1577" s="26"/>
      <c r="E1577" s="26"/>
    </row>
    <row r="1578" spans="1:5" s="16" customFormat="1" ht="12.95" customHeight="1">
      <c r="A1578" s="26" t="s">
        <v>8311</v>
      </c>
      <c r="B1578" s="26"/>
      <c r="C1578" s="26" t="s">
        <v>8312</v>
      </c>
      <c r="D1578" s="26"/>
      <c r="E1578" s="26"/>
    </row>
    <row r="1579" spans="1:5" s="16" customFormat="1" ht="12.95" customHeight="1">
      <c r="A1579" s="26" t="s">
        <v>8313</v>
      </c>
      <c r="B1579" s="26"/>
      <c r="C1579" s="26" t="s">
        <v>8314</v>
      </c>
      <c r="D1579" s="26"/>
      <c r="E1579" s="26"/>
    </row>
    <row r="1580" spans="1:5" s="16" customFormat="1" ht="12.95" customHeight="1">
      <c r="A1580" s="26" t="s">
        <v>1053</v>
      </c>
      <c r="B1580" s="26"/>
      <c r="C1580" s="26" t="s">
        <v>8315</v>
      </c>
      <c r="D1580" s="26"/>
      <c r="E1580" s="26"/>
    </row>
    <row r="1581" spans="1:5" s="16" customFormat="1" ht="12.95" customHeight="1">
      <c r="A1581" s="26" t="s">
        <v>8316</v>
      </c>
      <c r="B1581" s="26"/>
      <c r="C1581" s="26" t="s">
        <v>8317</v>
      </c>
      <c r="D1581" s="26"/>
      <c r="E1581" s="26"/>
    </row>
    <row r="1582" spans="1:5" s="16" customFormat="1" ht="12.95" customHeight="1">
      <c r="A1582" s="26" t="s">
        <v>8318</v>
      </c>
      <c r="B1582" s="26"/>
      <c r="C1582" s="26" t="s">
        <v>8319</v>
      </c>
      <c r="D1582" s="26"/>
      <c r="E1582" s="26"/>
    </row>
    <row r="1583" spans="1:5" s="16" customFormat="1" ht="12.95" customHeight="1">
      <c r="A1583" s="26" t="s">
        <v>8318</v>
      </c>
      <c r="B1583" s="26"/>
      <c r="C1583" s="26" t="s">
        <v>8319</v>
      </c>
      <c r="D1583" s="26"/>
      <c r="E1583" s="26"/>
    </row>
    <row r="1584" spans="1:5" s="16" customFormat="1" ht="12.95" customHeight="1">
      <c r="A1584" s="26" t="s">
        <v>8320</v>
      </c>
      <c r="B1584" s="26"/>
      <c r="C1584" s="26" t="s">
        <v>8321</v>
      </c>
      <c r="D1584" s="26"/>
      <c r="E1584" s="26"/>
    </row>
    <row r="1585" spans="1:5" s="16" customFormat="1" ht="12.95" customHeight="1">
      <c r="A1585" s="26" t="s">
        <v>8322</v>
      </c>
      <c r="B1585" s="26"/>
      <c r="C1585" s="26" t="s">
        <v>8323</v>
      </c>
      <c r="D1585" s="26"/>
      <c r="E1585" s="26"/>
    </row>
    <row r="1586" spans="1:5" s="16" customFormat="1" ht="12.95" customHeight="1">
      <c r="A1586" s="26" t="s">
        <v>8324</v>
      </c>
      <c r="B1586" s="26"/>
      <c r="C1586" s="26" t="s">
        <v>8325</v>
      </c>
      <c r="D1586" s="26"/>
      <c r="E1586" s="26"/>
    </row>
    <row r="1587" spans="1:5" s="16" customFormat="1" ht="12.95" customHeight="1">
      <c r="A1587" s="26" t="s">
        <v>768</v>
      </c>
      <c r="B1587" s="26"/>
      <c r="C1587" s="26" t="s">
        <v>8326</v>
      </c>
      <c r="D1587" s="26"/>
      <c r="E1587" s="26"/>
    </row>
    <row r="1588" spans="1:5" s="16" customFormat="1" ht="12.95" customHeight="1">
      <c r="A1588" s="26" t="s">
        <v>6068</v>
      </c>
      <c r="B1588" s="26"/>
      <c r="C1588" s="26" t="s">
        <v>8327</v>
      </c>
      <c r="D1588" s="26"/>
      <c r="E1588" s="26"/>
    </row>
    <row r="1589" spans="1:5" s="16" customFormat="1" ht="12.95" customHeight="1">
      <c r="A1589" s="26" t="s">
        <v>2773</v>
      </c>
      <c r="B1589" s="26"/>
      <c r="C1589" s="26" t="s">
        <v>8328</v>
      </c>
      <c r="D1589" s="26"/>
      <c r="E1589" s="26"/>
    </row>
    <row r="1590" spans="1:5" s="16" customFormat="1" ht="12.95" customHeight="1">
      <c r="A1590" s="26" t="s">
        <v>7083</v>
      </c>
      <c r="B1590" s="26"/>
      <c r="C1590" s="26" t="s">
        <v>8329</v>
      </c>
      <c r="D1590" s="26"/>
      <c r="E1590" s="26"/>
    </row>
    <row r="1591" spans="1:5" s="16" customFormat="1" ht="12.95" customHeight="1">
      <c r="A1591" s="26" t="s">
        <v>547</v>
      </c>
      <c r="B1591" s="26"/>
      <c r="C1591" s="26" t="s">
        <v>8330</v>
      </c>
      <c r="D1591" s="26"/>
      <c r="E1591" s="26"/>
    </row>
    <row r="1592" spans="1:5" s="16" customFormat="1" ht="12.95" customHeight="1">
      <c r="A1592" s="26" t="s">
        <v>739</v>
      </c>
      <c r="B1592" s="26"/>
      <c r="C1592" s="26" t="s">
        <v>8331</v>
      </c>
      <c r="D1592" s="26"/>
      <c r="E1592" s="26"/>
    </row>
    <row r="1593" spans="1:5" s="16" customFormat="1" ht="12.95" customHeight="1">
      <c r="A1593" s="26" t="s">
        <v>8332</v>
      </c>
      <c r="B1593" s="26"/>
      <c r="C1593" s="26" t="s">
        <v>8333</v>
      </c>
      <c r="D1593" s="26"/>
      <c r="E1593" s="26"/>
    </row>
    <row r="1594" spans="1:5" s="16" customFormat="1" ht="12.95" customHeight="1">
      <c r="A1594" s="26" t="s">
        <v>8334</v>
      </c>
      <c r="B1594" s="26"/>
      <c r="C1594" s="26" t="s">
        <v>8335</v>
      </c>
      <c r="D1594" s="26"/>
      <c r="E1594" s="26"/>
    </row>
    <row r="1595" spans="1:5" s="16" customFormat="1" ht="12.95" customHeight="1">
      <c r="A1595" s="26" t="s">
        <v>8336</v>
      </c>
      <c r="B1595" s="26"/>
      <c r="C1595" s="26" t="s">
        <v>8335</v>
      </c>
      <c r="D1595" s="26"/>
      <c r="E1595" s="26"/>
    </row>
    <row r="1596" spans="1:5" s="16" customFormat="1" ht="12.95" customHeight="1">
      <c r="A1596" s="26" t="s">
        <v>8337</v>
      </c>
      <c r="B1596" s="26"/>
      <c r="C1596" s="26" t="s">
        <v>8338</v>
      </c>
      <c r="D1596" s="26"/>
      <c r="E1596" s="26"/>
    </row>
    <row r="1597" spans="1:5" s="16" customFormat="1" ht="12.95" customHeight="1">
      <c r="A1597" s="26" t="s">
        <v>8337</v>
      </c>
      <c r="B1597" s="26"/>
      <c r="C1597" s="26" t="s">
        <v>8338</v>
      </c>
      <c r="D1597" s="26"/>
      <c r="E1597" s="26"/>
    </row>
    <row r="1598" spans="1:5" s="16" customFormat="1" ht="12.95" customHeight="1">
      <c r="A1598" s="26" t="s">
        <v>8339</v>
      </c>
      <c r="B1598" s="26"/>
      <c r="C1598" s="26" t="s">
        <v>8340</v>
      </c>
      <c r="D1598" s="26"/>
      <c r="E1598" s="26"/>
    </row>
    <row r="1599" spans="1:5" s="16" customFormat="1" ht="12.95" customHeight="1">
      <c r="A1599" s="26" t="s">
        <v>4559</v>
      </c>
      <c r="B1599" s="26"/>
      <c r="C1599" s="26" t="s">
        <v>8341</v>
      </c>
      <c r="D1599" s="26"/>
      <c r="E1599" s="26"/>
    </row>
    <row r="1600" spans="1:5" s="16" customFormat="1" ht="12.95" customHeight="1">
      <c r="A1600" s="26" t="s">
        <v>8342</v>
      </c>
      <c r="B1600" s="26"/>
      <c r="C1600" s="26" t="s">
        <v>8343</v>
      </c>
      <c r="D1600" s="26"/>
      <c r="E1600" s="26"/>
    </row>
    <row r="1601" spans="1:5" s="16" customFormat="1" ht="12.95" customHeight="1">
      <c r="A1601" s="26" t="s">
        <v>8344</v>
      </c>
      <c r="B1601" s="26"/>
      <c r="C1601" s="26" t="s">
        <v>8345</v>
      </c>
      <c r="D1601" s="26"/>
      <c r="E1601" s="26"/>
    </row>
    <row r="1602" spans="1:5" s="16" customFormat="1" ht="12.95" customHeight="1">
      <c r="A1602" s="26" t="s">
        <v>8346</v>
      </c>
      <c r="B1602" s="26"/>
      <c r="C1602" s="26" t="s">
        <v>8341</v>
      </c>
      <c r="D1602" s="26"/>
      <c r="E1602" s="26"/>
    </row>
    <row r="1603" spans="1:5" s="16" customFormat="1" ht="12.95" customHeight="1">
      <c r="A1603" s="26" t="s">
        <v>8347</v>
      </c>
      <c r="B1603" s="26"/>
      <c r="C1603" s="26" t="s">
        <v>8345</v>
      </c>
      <c r="D1603" s="26"/>
      <c r="E1603" s="26"/>
    </row>
    <row r="1604" spans="1:5" s="16" customFormat="1" ht="12.95" customHeight="1">
      <c r="A1604" s="26" t="s">
        <v>8348</v>
      </c>
      <c r="B1604" s="26"/>
      <c r="C1604" s="26" t="s">
        <v>8349</v>
      </c>
      <c r="D1604" s="26"/>
      <c r="E1604" s="26"/>
    </row>
    <row r="1605" spans="1:5" s="16" customFormat="1" ht="12.95" customHeight="1">
      <c r="A1605" s="26" t="s">
        <v>2565</v>
      </c>
      <c r="B1605" s="26"/>
      <c r="C1605" s="26" t="s">
        <v>8350</v>
      </c>
      <c r="D1605" s="26"/>
      <c r="E1605" s="26"/>
    </row>
    <row r="1606" spans="1:5" s="16" customFormat="1" ht="12.95" customHeight="1">
      <c r="A1606" s="26" t="s">
        <v>346</v>
      </c>
      <c r="B1606" s="26"/>
      <c r="C1606" s="26" t="s">
        <v>8351</v>
      </c>
      <c r="D1606" s="26"/>
      <c r="E1606" s="26"/>
    </row>
    <row r="1607" spans="1:5" s="16" customFormat="1" ht="12.95" customHeight="1">
      <c r="A1607" s="26" t="s">
        <v>8352</v>
      </c>
      <c r="B1607" s="26"/>
      <c r="C1607" s="26" t="s">
        <v>8351</v>
      </c>
      <c r="D1607" s="26"/>
      <c r="E1607" s="26"/>
    </row>
    <row r="1608" spans="1:5" s="16" customFormat="1" ht="12.95" customHeight="1">
      <c r="A1608" s="26" t="s">
        <v>8353</v>
      </c>
      <c r="B1608" s="26"/>
      <c r="C1608" s="26" t="s">
        <v>8351</v>
      </c>
      <c r="D1608" s="26"/>
      <c r="E1608" s="26"/>
    </row>
    <row r="1609" spans="1:5" s="16" customFormat="1" ht="12.95" customHeight="1">
      <c r="A1609" s="26" t="s">
        <v>8354</v>
      </c>
      <c r="B1609" s="26"/>
      <c r="C1609" s="26" t="s">
        <v>8355</v>
      </c>
      <c r="D1609" s="26"/>
      <c r="E1609" s="26"/>
    </row>
    <row r="1610" spans="1:5" s="16" customFormat="1" ht="12.95" customHeight="1">
      <c r="A1610" s="26" t="s">
        <v>8356</v>
      </c>
      <c r="B1610" s="26"/>
      <c r="C1610" s="26" t="s">
        <v>8357</v>
      </c>
      <c r="D1610" s="26"/>
      <c r="E1610" s="26"/>
    </row>
    <row r="1611" spans="1:5" s="16" customFormat="1" ht="12.95" customHeight="1">
      <c r="A1611" s="26" t="s">
        <v>8358</v>
      </c>
      <c r="B1611" s="26"/>
      <c r="C1611" s="26" t="s">
        <v>8359</v>
      </c>
      <c r="D1611" s="26"/>
      <c r="E1611" s="26"/>
    </row>
    <row r="1612" spans="1:5" s="16" customFormat="1" ht="12.95" customHeight="1">
      <c r="A1612" s="26" t="s">
        <v>8360</v>
      </c>
      <c r="B1612" s="26"/>
      <c r="C1612" s="26" t="s">
        <v>8361</v>
      </c>
      <c r="D1612" s="26"/>
      <c r="E1612" s="26"/>
    </row>
    <row r="1613" spans="1:5" s="16" customFormat="1" ht="12.95" customHeight="1">
      <c r="A1613" s="26" t="s">
        <v>2887</v>
      </c>
      <c r="B1613" s="26"/>
      <c r="C1613" s="26" t="s">
        <v>8362</v>
      </c>
      <c r="D1613" s="26"/>
      <c r="E1613" s="26"/>
    </row>
    <row r="1614" spans="1:5" s="16" customFormat="1" ht="12.95" customHeight="1">
      <c r="A1614" s="26" t="s">
        <v>8363</v>
      </c>
      <c r="B1614" s="26"/>
      <c r="C1614" s="26" t="s">
        <v>8364</v>
      </c>
      <c r="D1614" s="26"/>
      <c r="E1614" s="26"/>
    </row>
    <row r="1615" spans="1:5" s="16" customFormat="1" ht="12.95" customHeight="1">
      <c r="A1615" s="26" t="s">
        <v>8365</v>
      </c>
      <c r="B1615" s="26"/>
      <c r="C1615" s="26" t="s">
        <v>8366</v>
      </c>
      <c r="D1615" s="26"/>
      <c r="E1615" s="26"/>
    </row>
    <row r="1616" spans="1:5" s="16" customFormat="1" ht="12.95" customHeight="1">
      <c r="A1616" s="26" t="s">
        <v>8367</v>
      </c>
      <c r="B1616" s="26"/>
      <c r="C1616" s="26" t="s">
        <v>8364</v>
      </c>
      <c r="D1616" s="26"/>
      <c r="E1616" s="26"/>
    </row>
    <row r="1617" spans="1:5" s="16" customFormat="1" ht="12.95" customHeight="1">
      <c r="A1617" s="26" t="s">
        <v>8368</v>
      </c>
      <c r="B1617" s="26"/>
      <c r="C1617" s="26" t="s">
        <v>8369</v>
      </c>
      <c r="D1617" s="26"/>
      <c r="E1617" s="26"/>
    </row>
    <row r="1618" spans="1:5" s="16" customFormat="1" ht="12.95" customHeight="1">
      <c r="A1618" s="26" t="s">
        <v>8370</v>
      </c>
      <c r="B1618" s="26"/>
      <c r="C1618" s="26" t="s">
        <v>8371</v>
      </c>
      <c r="D1618" s="26"/>
      <c r="E1618" s="26"/>
    </row>
    <row r="1619" spans="1:5" s="16" customFormat="1" ht="12.95" customHeight="1">
      <c r="A1619" s="26" t="s">
        <v>8372</v>
      </c>
      <c r="B1619" s="26"/>
      <c r="C1619" s="26" t="s">
        <v>8373</v>
      </c>
      <c r="D1619" s="26"/>
      <c r="E1619" s="26"/>
    </row>
    <row r="1620" spans="1:5" s="16" customFormat="1" ht="12.95" customHeight="1">
      <c r="A1620" s="26" t="s">
        <v>8374</v>
      </c>
      <c r="B1620" s="26"/>
      <c r="C1620" s="26" t="s">
        <v>8375</v>
      </c>
      <c r="D1620" s="26"/>
      <c r="E1620" s="26"/>
    </row>
    <row r="1621" spans="1:5" s="16" customFormat="1" ht="12.95" customHeight="1">
      <c r="A1621" s="26" t="s">
        <v>8376</v>
      </c>
      <c r="B1621" s="26"/>
      <c r="C1621" s="26" t="s">
        <v>8377</v>
      </c>
      <c r="D1621" s="26"/>
      <c r="E1621" s="26"/>
    </row>
    <row r="1622" spans="1:5" s="16" customFormat="1" ht="12.95" customHeight="1">
      <c r="A1622" s="26" t="s">
        <v>8378</v>
      </c>
      <c r="B1622" s="26"/>
      <c r="C1622" s="26" t="s">
        <v>8379</v>
      </c>
      <c r="D1622" s="26"/>
      <c r="E1622" s="26"/>
    </row>
    <row r="1623" spans="1:5" s="16" customFormat="1" ht="12.95" customHeight="1">
      <c r="A1623" s="26" t="s">
        <v>8380</v>
      </c>
      <c r="B1623" s="26"/>
      <c r="C1623" s="26" t="s">
        <v>8381</v>
      </c>
      <c r="D1623" s="26"/>
      <c r="E1623" s="26"/>
    </row>
    <row r="1624" spans="1:5" s="16" customFormat="1" ht="12.95" customHeight="1">
      <c r="A1624" s="26" t="s">
        <v>8382</v>
      </c>
      <c r="B1624" s="26"/>
      <c r="C1624" s="26" t="s">
        <v>8383</v>
      </c>
      <c r="D1624" s="26"/>
      <c r="E1624" s="26"/>
    </row>
    <row r="1625" spans="1:5" s="16" customFormat="1" ht="12.95" customHeight="1">
      <c r="A1625" s="26" t="s">
        <v>8384</v>
      </c>
      <c r="B1625" s="26"/>
      <c r="C1625" s="26" t="s">
        <v>8385</v>
      </c>
      <c r="D1625" s="26"/>
      <c r="E1625" s="26"/>
    </row>
    <row r="1626" spans="1:5" s="16" customFormat="1" ht="12.95" customHeight="1">
      <c r="A1626" s="26" t="s">
        <v>4880</v>
      </c>
      <c r="B1626" s="26"/>
      <c r="C1626" s="26" t="s">
        <v>8033</v>
      </c>
      <c r="D1626" s="26"/>
      <c r="E1626" s="26"/>
    </row>
    <row r="1627" spans="1:5" s="16" customFormat="1" ht="12.95" customHeight="1">
      <c r="A1627" s="26" t="s">
        <v>4756</v>
      </c>
      <c r="B1627" s="26"/>
      <c r="C1627" s="26" t="s">
        <v>8386</v>
      </c>
      <c r="D1627" s="26"/>
      <c r="E1627" s="26"/>
    </row>
    <row r="1628" spans="1:5" s="16" customFormat="1" ht="12.95" customHeight="1">
      <c r="A1628" s="26" t="s">
        <v>3938</v>
      </c>
      <c r="B1628" s="26"/>
      <c r="C1628" s="26" t="s">
        <v>8387</v>
      </c>
      <c r="D1628" s="26"/>
      <c r="E1628" s="26"/>
    </row>
    <row r="1629" spans="1:5" s="16" customFormat="1" ht="12.95" customHeight="1">
      <c r="A1629" s="26" t="s">
        <v>8388</v>
      </c>
      <c r="B1629" s="26"/>
      <c r="C1629" s="26" t="s">
        <v>8389</v>
      </c>
      <c r="D1629" s="26"/>
      <c r="E1629" s="26"/>
    </row>
    <row r="1630" spans="1:5" s="16" customFormat="1" ht="12.95" customHeight="1">
      <c r="A1630" s="26" t="s">
        <v>8390</v>
      </c>
      <c r="B1630" s="26"/>
      <c r="C1630" s="26" t="s">
        <v>8391</v>
      </c>
      <c r="D1630" s="26"/>
      <c r="E1630" s="26"/>
    </row>
    <row r="1631" spans="1:5" s="16" customFormat="1" ht="12.95" customHeight="1">
      <c r="A1631" s="26" t="s">
        <v>8392</v>
      </c>
      <c r="B1631" s="26"/>
      <c r="C1631" s="26" t="s">
        <v>8393</v>
      </c>
      <c r="D1631" s="26"/>
      <c r="E1631" s="26"/>
    </row>
    <row r="1632" spans="1:5" s="16" customFormat="1" ht="12.95" customHeight="1">
      <c r="A1632" s="26" t="s">
        <v>8394</v>
      </c>
      <c r="B1632" s="26"/>
      <c r="C1632" s="26" t="s">
        <v>8395</v>
      </c>
      <c r="D1632" s="26"/>
      <c r="E1632" s="26"/>
    </row>
    <row r="1633" spans="1:5" s="16" customFormat="1" ht="12.95" customHeight="1">
      <c r="A1633" s="26" t="s">
        <v>8396</v>
      </c>
      <c r="B1633" s="26"/>
      <c r="C1633" s="26" t="s">
        <v>8397</v>
      </c>
      <c r="D1633" s="26"/>
      <c r="E1633" s="26"/>
    </row>
    <row r="1634" spans="1:5" s="16" customFormat="1" ht="12.95" customHeight="1">
      <c r="A1634" s="26" t="s">
        <v>2813</v>
      </c>
      <c r="B1634" s="26"/>
      <c r="C1634" s="26" t="s">
        <v>8398</v>
      </c>
      <c r="D1634" s="26"/>
      <c r="E1634" s="26"/>
    </row>
    <row r="1635" spans="1:5" s="16" customFormat="1" ht="12.95" customHeight="1">
      <c r="A1635" s="26" t="s">
        <v>8399</v>
      </c>
      <c r="B1635" s="26"/>
      <c r="C1635" s="26" t="s">
        <v>8400</v>
      </c>
      <c r="D1635" s="26"/>
      <c r="E1635" s="26"/>
    </row>
    <row r="1636" spans="1:5" s="16" customFormat="1" ht="12.95" customHeight="1">
      <c r="A1636" s="26" t="s">
        <v>905</v>
      </c>
      <c r="B1636" s="26"/>
      <c r="C1636" s="26" t="s">
        <v>8401</v>
      </c>
      <c r="D1636" s="26"/>
      <c r="E1636" s="26"/>
    </row>
    <row r="1637" spans="1:5" s="16" customFormat="1" ht="12.95" customHeight="1">
      <c r="A1637" s="26" t="s">
        <v>3331</v>
      </c>
      <c r="B1637" s="26"/>
      <c r="C1637" s="26" t="s">
        <v>8402</v>
      </c>
      <c r="D1637" s="26"/>
      <c r="E1637" s="26"/>
    </row>
    <row r="1638" spans="1:5" s="16" customFormat="1" ht="12.95" customHeight="1">
      <c r="A1638" s="26" t="s">
        <v>8403</v>
      </c>
      <c r="B1638" s="26"/>
      <c r="C1638" s="26" t="s">
        <v>8404</v>
      </c>
      <c r="D1638" s="26"/>
      <c r="E1638" s="26"/>
    </row>
    <row r="1639" spans="1:5" s="16" customFormat="1" ht="12.95" customHeight="1">
      <c r="A1639" s="26" t="s">
        <v>8403</v>
      </c>
      <c r="B1639" s="26"/>
      <c r="C1639" s="26" t="s">
        <v>8404</v>
      </c>
      <c r="D1639" s="26"/>
      <c r="E1639" s="26"/>
    </row>
    <row r="1640" spans="1:5" s="16" customFormat="1" ht="12.95" customHeight="1">
      <c r="A1640" s="26" t="s">
        <v>1737</v>
      </c>
      <c r="B1640" s="26"/>
      <c r="C1640" s="26" t="s">
        <v>8405</v>
      </c>
      <c r="D1640" s="26"/>
      <c r="E1640" s="26"/>
    </row>
    <row r="1641" spans="1:5" s="16" customFormat="1" ht="12.95" customHeight="1">
      <c r="A1641" s="26" t="s">
        <v>1309</v>
      </c>
      <c r="B1641" s="26"/>
      <c r="C1641" s="26" t="s">
        <v>8406</v>
      </c>
      <c r="D1641" s="26"/>
      <c r="E1641" s="26"/>
    </row>
    <row r="1642" spans="1:5" s="16" customFormat="1" ht="12.95" customHeight="1">
      <c r="A1642" s="26" t="s">
        <v>5845</v>
      </c>
      <c r="B1642" s="26"/>
      <c r="C1642" s="26" t="s">
        <v>8407</v>
      </c>
      <c r="D1642" s="26"/>
      <c r="E1642" s="26"/>
    </row>
    <row r="1643" spans="1:5" s="16" customFormat="1" ht="12.95" customHeight="1">
      <c r="A1643" s="26" t="s">
        <v>1969</v>
      </c>
      <c r="B1643" s="26"/>
      <c r="C1643" s="26" t="s">
        <v>8408</v>
      </c>
      <c r="D1643" s="26"/>
      <c r="E1643" s="26"/>
    </row>
    <row r="1644" spans="1:5" s="16" customFormat="1" ht="12.95" customHeight="1">
      <c r="A1644" s="26" t="s">
        <v>2788</v>
      </c>
      <c r="B1644" s="26"/>
      <c r="C1644" s="26" t="s">
        <v>8409</v>
      </c>
      <c r="D1644" s="26"/>
      <c r="E1644" s="26"/>
    </row>
    <row r="1645" spans="1:5" s="16" customFormat="1" ht="12.95" customHeight="1">
      <c r="A1645" s="26" t="s">
        <v>3691</v>
      </c>
      <c r="B1645" s="26"/>
      <c r="C1645" s="26" t="s">
        <v>8410</v>
      </c>
      <c r="D1645" s="26"/>
      <c r="E1645" s="26"/>
    </row>
    <row r="1646" spans="1:5" s="16" customFormat="1" ht="12.95" customHeight="1">
      <c r="A1646" s="26" t="s">
        <v>8411</v>
      </c>
      <c r="B1646" s="26"/>
      <c r="C1646" s="26" t="s">
        <v>8412</v>
      </c>
      <c r="D1646" s="26"/>
      <c r="E1646" s="26"/>
    </row>
    <row r="1647" spans="1:5" s="16" customFormat="1" ht="12.95" customHeight="1">
      <c r="A1647" s="26" t="s">
        <v>8413</v>
      </c>
      <c r="B1647" s="26"/>
      <c r="C1647" s="26" t="s">
        <v>8410</v>
      </c>
      <c r="D1647" s="26"/>
      <c r="E1647" s="26"/>
    </row>
    <row r="1648" spans="1:5" s="16" customFormat="1" ht="12.95" customHeight="1">
      <c r="A1648" s="26" t="s">
        <v>8414</v>
      </c>
      <c r="B1648" s="26"/>
      <c r="C1648" s="26" t="s">
        <v>8415</v>
      </c>
      <c r="D1648" s="26"/>
      <c r="E1648" s="26"/>
    </row>
    <row r="1649" spans="1:5" s="16" customFormat="1" ht="12.95" customHeight="1">
      <c r="A1649" s="26" t="s">
        <v>8416</v>
      </c>
      <c r="B1649" s="26"/>
      <c r="C1649" s="26" t="s">
        <v>8417</v>
      </c>
      <c r="D1649" s="26"/>
      <c r="E1649" s="26"/>
    </row>
    <row r="1650" spans="1:5" s="16" customFormat="1" ht="12.95" customHeight="1">
      <c r="A1650" s="26" t="s">
        <v>8418</v>
      </c>
      <c r="B1650" s="26"/>
      <c r="C1650" s="26" t="s">
        <v>8419</v>
      </c>
      <c r="D1650" s="26"/>
      <c r="E1650" s="26"/>
    </row>
    <row r="1651" spans="1:5" s="16" customFormat="1" ht="12.95" customHeight="1">
      <c r="A1651" s="26" t="s">
        <v>8420</v>
      </c>
      <c r="B1651" s="26"/>
      <c r="C1651" s="26" t="s">
        <v>8421</v>
      </c>
      <c r="D1651" s="26"/>
      <c r="E1651" s="26"/>
    </row>
    <row r="1652" spans="1:5" s="16" customFormat="1" ht="12.95" customHeight="1">
      <c r="A1652" s="26" t="s">
        <v>8422</v>
      </c>
      <c r="B1652" s="26"/>
      <c r="C1652" s="26" t="s">
        <v>8423</v>
      </c>
      <c r="D1652" s="26"/>
      <c r="E1652" s="26"/>
    </row>
    <row r="1653" spans="1:5" s="16" customFormat="1" ht="12.95" customHeight="1">
      <c r="A1653" s="26" t="s">
        <v>8424</v>
      </c>
      <c r="B1653" s="26"/>
      <c r="C1653" s="26" t="s">
        <v>8425</v>
      </c>
      <c r="D1653" s="26"/>
      <c r="E1653" s="26"/>
    </row>
    <row r="1654" spans="1:5" s="16" customFormat="1" ht="12.95" customHeight="1">
      <c r="A1654" s="26" t="s">
        <v>8426</v>
      </c>
      <c r="B1654" s="26"/>
      <c r="C1654" s="26" t="s">
        <v>7653</v>
      </c>
      <c r="D1654" s="26"/>
      <c r="E1654" s="26"/>
    </row>
    <row r="1655" spans="1:5" s="16" customFormat="1" ht="12.95" customHeight="1">
      <c r="A1655" s="26" t="s">
        <v>8427</v>
      </c>
      <c r="B1655" s="26"/>
      <c r="C1655" s="26" t="s">
        <v>8428</v>
      </c>
      <c r="D1655" s="26"/>
      <c r="E1655" s="26"/>
    </row>
    <row r="1656" spans="1:5" s="16" customFormat="1" ht="12.95" customHeight="1">
      <c r="A1656" s="26" t="s">
        <v>8429</v>
      </c>
      <c r="B1656" s="26"/>
      <c r="C1656" s="26" t="s">
        <v>8430</v>
      </c>
      <c r="D1656" s="26"/>
      <c r="E1656" s="26"/>
    </row>
    <row r="1657" spans="1:5" s="16" customFormat="1" ht="12.95" customHeight="1">
      <c r="A1657" s="26" t="s">
        <v>8431</v>
      </c>
      <c r="B1657" s="26"/>
      <c r="C1657" s="26" t="s">
        <v>8432</v>
      </c>
      <c r="D1657" s="26"/>
      <c r="E1657" s="26"/>
    </row>
    <row r="1658" spans="1:5" s="16" customFormat="1" ht="12.95" customHeight="1">
      <c r="A1658" s="26" t="s">
        <v>8433</v>
      </c>
      <c r="B1658" s="26"/>
      <c r="C1658" s="26" t="s">
        <v>8434</v>
      </c>
      <c r="D1658" s="26"/>
      <c r="E1658" s="26"/>
    </row>
    <row r="1659" spans="1:5" s="16" customFormat="1" ht="12.95" customHeight="1">
      <c r="A1659" s="26" t="s">
        <v>8435</v>
      </c>
      <c r="B1659" s="26"/>
      <c r="C1659" s="26" t="s">
        <v>8436</v>
      </c>
      <c r="D1659" s="26"/>
      <c r="E1659" s="26"/>
    </row>
    <row r="1660" spans="1:5" s="16" customFormat="1" ht="12.95" customHeight="1">
      <c r="A1660" s="26" t="s">
        <v>8437</v>
      </c>
      <c r="B1660" s="26"/>
      <c r="C1660" s="26" t="s">
        <v>7657</v>
      </c>
      <c r="D1660" s="26"/>
      <c r="E1660" s="26"/>
    </row>
    <row r="1661" spans="1:5" s="16" customFormat="1" ht="12.95" customHeight="1">
      <c r="A1661" s="26" t="s">
        <v>8438</v>
      </c>
      <c r="B1661" s="26"/>
      <c r="C1661" s="26" t="s">
        <v>8439</v>
      </c>
      <c r="D1661" s="26"/>
      <c r="E1661" s="26"/>
    </row>
    <row r="1662" spans="1:5" s="16" customFormat="1" ht="12.95" customHeight="1">
      <c r="A1662" s="26" t="s">
        <v>8440</v>
      </c>
      <c r="B1662" s="26"/>
      <c r="C1662" s="26" t="s">
        <v>8441</v>
      </c>
      <c r="D1662" s="26"/>
      <c r="E1662" s="26"/>
    </row>
    <row r="1663" spans="1:5" s="16" customFormat="1" ht="12.95" customHeight="1">
      <c r="A1663" s="26" t="s">
        <v>8442</v>
      </c>
      <c r="B1663" s="26"/>
      <c r="C1663" s="26" t="s">
        <v>8443</v>
      </c>
      <c r="D1663" s="26"/>
      <c r="E1663" s="26"/>
    </row>
    <row r="1664" spans="1:5" s="16" customFormat="1" ht="12.95" customHeight="1">
      <c r="A1664" s="26" t="s">
        <v>8444</v>
      </c>
      <c r="B1664" s="26"/>
      <c r="C1664" s="26" t="s">
        <v>8445</v>
      </c>
      <c r="D1664" s="26"/>
      <c r="E1664" s="26"/>
    </row>
    <row r="1665" spans="1:5" s="16" customFormat="1" ht="12.95" customHeight="1">
      <c r="A1665" s="26" t="s">
        <v>8444</v>
      </c>
      <c r="B1665" s="26"/>
      <c r="C1665" s="26" t="s">
        <v>8445</v>
      </c>
      <c r="D1665" s="26"/>
      <c r="E1665" s="26"/>
    </row>
    <row r="1666" spans="1:5" s="16" customFormat="1" ht="12.95" customHeight="1">
      <c r="A1666" s="26" t="s">
        <v>8446</v>
      </c>
      <c r="B1666" s="26"/>
      <c r="C1666" s="26" t="s">
        <v>8447</v>
      </c>
      <c r="D1666" s="26"/>
      <c r="E1666" s="26"/>
    </row>
    <row r="1667" spans="1:5" s="16" customFormat="1" ht="12.95" customHeight="1">
      <c r="A1667" s="26" t="s">
        <v>8448</v>
      </c>
      <c r="B1667" s="26"/>
      <c r="C1667" s="26" t="s">
        <v>8449</v>
      </c>
      <c r="D1667" s="26"/>
      <c r="E1667" s="26"/>
    </row>
    <row r="1668" spans="1:5" s="16" customFormat="1" ht="12.95" customHeight="1">
      <c r="A1668" s="26" t="s">
        <v>3071</v>
      </c>
      <c r="B1668" s="26"/>
      <c r="C1668" s="26" t="s">
        <v>8450</v>
      </c>
      <c r="D1668" s="26"/>
      <c r="E1668" s="26"/>
    </row>
    <row r="1669" spans="1:5" s="16" customFormat="1" ht="12.95" customHeight="1">
      <c r="A1669" s="26" t="s">
        <v>8451</v>
      </c>
      <c r="B1669" s="26"/>
      <c r="C1669" s="26" t="s">
        <v>8452</v>
      </c>
      <c r="D1669" s="26"/>
      <c r="E1669" s="26"/>
    </row>
    <row r="1670" spans="1:5" s="16" customFormat="1" ht="12.95" customHeight="1">
      <c r="A1670" s="26" t="s">
        <v>8453</v>
      </c>
      <c r="B1670" s="26"/>
      <c r="C1670" s="26" t="s">
        <v>8454</v>
      </c>
      <c r="D1670" s="26"/>
      <c r="E1670" s="26"/>
    </row>
    <row r="1671" spans="1:5" s="16" customFormat="1" ht="12.95" customHeight="1">
      <c r="A1671" s="26" t="s">
        <v>8455</v>
      </c>
      <c r="B1671" s="26"/>
      <c r="C1671" s="26" t="s">
        <v>8450</v>
      </c>
      <c r="D1671" s="26"/>
      <c r="E1671" s="26"/>
    </row>
    <row r="1672" spans="1:5" s="16" customFormat="1" ht="12.95" customHeight="1">
      <c r="A1672" s="26" t="s">
        <v>8456</v>
      </c>
      <c r="B1672" s="26"/>
      <c r="C1672" s="26" t="s">
        <v>8457</v>
      </c>
      <c r="D1672" s="26"/>
      <c r="E1672" s="26"/>
    </row>
    <row r="1673" spans="1:5" s="16" customFormat="1" ht="12.95" customHeight="1">
      <c r="A1673" s="26" t="s">
        <v>8458</v>
      </c>
      <c r="B1673" s="26"/>
      <c r="C1673" s="26" t="s">
        <v>8459</v>
      </c>
      <c r="D1673" s="26"/>
      <c r="E1673" s="26"/>
    </row>
    <row r="1674" spans="1:5" s="16" customFormat="1" ht="12.95" customHeight="1">
      <c r="A1674" s="26" t="s">
        <v>8460</v>
      </c>
      <c r="B1674" s="26"/>
      <c r="C1674" s="26" t="s">
        <v>8461</v>
      </c>
      <c r="D1674" s="26"/>
      <c r="E1674" s="26"/>
    </row>
    <row r="1675" spans="1:5" s="16" customFormat="1" ht="12.95" customHeight="1">
      <c r="A1675" s="26" t="s">
        <v>8462</v>
      </c>
      <c r="B1675" s="26"/>
      <c r="C1675" s="26" t="s">
        <v>8463</v>
      </c>
      <c r="D1675" s="26"/>
      <c r="E1675" s="26"/>
    </row>
    <row r="1676" spans="1:5" s="16" customFormat="1" ht="12.95" customHeight="1">
      <c r="A1676" s="26" t="s">
        <v>8464</v>
      </c>
      <c r="B1676" s="26"/>
      <c r="C1676" s="26" t="s">
        <v>8465</v>
      </c>
      <c r="D1676" s="26"/>
      <c r="E1676" s="26"/>
    </row>
    <row r="1677" spans="1:5" s="16" customFormat="1" ht="12.95" customHeight="1">
      <c r="A1677" s="26" t="s">
        <v>8466</v>
      </c>
      <c r="B1677" s="26"/>
      <c r="C1677" s="26" t="s">
        <v>8467</v>
      </c>
      <c r="D1677" s="26"/>
      <c r="E1677" s="26"/>
    </row>
    <row r="1678" spans="1:5" s="16" customFormat="1" ht="12.95" customHeight="1">
      <c r="A1678" s="26" t="s">
        <v>8468</v>
      </c>
      <c r="B1678" s="26"/>
      <c r="C1678" s="26" t="s">
        <v>8469</v>
      </c>
      <c r="D1678" s="26"/>
      <c r="E1678" s="26"/>
    </row>
    <row r="1679" spans="1:5" s="16" customFormat="1" ht="12.95" customHeight="1">
      <c r="A1679" s="26" t="s">
        <v>8470</v>
      </c>
      <c r="B1679" s="26"/>
      <c r="C1679" s="26" t="s">
        <v>8471</v>
      </c>
      <c r="D1679" s="26"/>
      <c r="E1679" s="26"/>
    </row>
    <row r="1680" spans="1:5" s="16" customFormat="1" ht="12.95" customHeight="1">
      <c r="A1680" s="26" t="s">
        <v>8472</v>
      </c>
      <c r="B1680" s="26"/>
      <c r="C1680" s="26" t="s">
        <v>8473</v>
      </c>
      <c r="D1680" s="26"/>
      <c r="E1680" s="26"/>
    </row>
    <row r="1681" spans="1:5" s="16" customFormat="1" ht="12.95" customHeight="1">
      <c r="A1681" s="26" t="s">
        <v>8474</v>
      </c>
      <c r="B1681" s="26"/>
      <c r="C1681" s="26" t="s">
        <v>8475</v>
      </c>
      <c r="D1681" s="26"/>
      <c r="E1681" s="26"/>
    </row>
    <row r="1682" spans="1:5" s="16" customFormat="1" ht="12.95" customHeight="1">
      <c r="A1682" s="26" t="s">
        <v>8476</v>
      </c>
      <c r="B1682" s="26"/>
      <c r="C1682" s="26" t="s">
        <v>8477</v>
      </c>
      <c r="D1682" s="26"/>
      <c r="E1682" s="26"/>
    </row>
    <row r="1683" spans="1:5" s="16" customFormat="1" ht="12.95" customHeight="1">
      <c r="A1683" s="26" t="s">
        <v>8478</v>
      </c>
      <c r="B1683" s="26"/>
      <c r="C1683" s="26" t="s">
        <v>8479</v>
      </c>
      <c r="D1683" s="26"/>
      <c r="E1683" s="26"/>
    </row>
    <row r="1684" spans="1:5" s="16" customFormat="1" ht="12.95" customHeight="1">
      <c r="A1684" s="26" t="s">
        <v>8480</v>
      </c>
      <c r="B1684" s="26"/>
      <c r="C1684" s="26" t="s">
        <v>8481</v>
      </c>
      <c r="D1684" s="26"/>
      <c r="E1684" s="26"/>
    </row>
    <row r="1685" spans="1:5" s="16" customFormat="1" ht="12.95" customHeight="1">
      <c r="A1685" s="26" t="s">
        <v>8482</v>
      </c>
      <c r="B1685" s="26"/>
      <c r="C1685" s="26" t="s">
        <v>8483</v>
      </c>
      <c r="D1685" s="26"/>
      <c r="E1685" s="26"/>
    </row>
    <row r="1686" spans="1:5" s="16" customFormat="1" ht="12.95" customHeight="1">
      <c r="A1686" s="26" t="s">
        <v>8484</v>
      </c>
      <c r="B1686" s="26"/>
      <c r="C1686" s="26" t="s">
        <v>8485</v>
      </c>
      <c r="D1686" s="26"/>
      <c r="E1686" s="26"/>
    </row>
    <row r="1687" spans="1:5" s="16" customFormat="1" ht="12.95" customHeight="1">
      <c r="A1687" s="26" t="s">
        <v>8486</v>
      </c>
      <c r="B1687" s="26"/>
      <c r="C1687" s="26" t="s">
        <v>8487</v>
      </c>
      <c r="D1687" s="26"/>
      <c r="E1687" s="26"/>
    </row>
    <row r="1688" spans="1:5" s="16" customFormat="1" ht="12.95" customHeight="1">
      <c r="A1688" s="26" t="s">
        <v>8488</v>
      </c>
      <c r="B1688" s="26"/>
      <c r="C1688" s="26" t="s">
        <v>8489</v>
      </c>
      <c r="D1688" s="26"/>
      <c r="E1688" s="26"/>
    </row>
    <row r="1689" spans="1:5" s="16" customFormat="1" ht="12.95" customHeight="1">
      <c r="A1689" s="26" t="s">
        <v>8490</v>
      </c>
      <c r="B1689" s="26"/>
      <c r="C1689" s="26" t="s">
        <v>8491</v>
      </c>
      <c r="D1689" s="26"/>
      <c r="E1689" s="26"/>
    </row>
    <row r="1690" spans="1:5" s="16" customFormat="1" ht="12.95" customHeight="1">
      <c r="A1690" s="26" t="s">
        <v>8492</v>
      </c>
      <c r="B1690" s="26"/>
      <c r="C1690" s="26" t="s">
        <v>8493</v>
      </c>
      <c r="D1690" s="26"/>
      <c r="E1690" s="26"/>
    </row>
    <row r="1691" spans="1:5" s="16" customFormat="1" ht="12.95" customHeight="1">
      <c r="A1691" s="26" t="s">
        <v>8494</v>
      </c>
      <c r="B1691" s="26"/>
      <c r="C1691" s="26" t="s">
        <v>8495</v>
      </c>
      <c r="D1691" s="26"/>
      <c r="E1691" s="26"/>
    </row>
    <row r="1692" spans="1:5" s="16" customFormat="1" ht="12.95" customHeight="1">
      <c r="A1692" s="26" t="s">
        <v>8496</v>
      </c>
      <c r="B1692" s="26"/>
      <c r="C1692" s="26" t="s">
        <v>8497</v>
      </c>
      <c r="D1692" s="26"/>
      <c r="E1692" s="26"/>
    </row>
    <row r="1693" spans="1:5" s="16" customFormat="1" ht="12.95" customHeight="1">
      <c r="A1693" s="26" t="s">
        <v>8498</v>
      </c>
      <c r="B1693" s="26"/>
      <c r="C1693" s="26" t="s">
        <v>8499</v>
      </c>
      <c r="D1693" s="26"/>
      <c r="E1693" s="26"/>
    </row>
    <row r="1694" spans="1:5" s="16" customFormat="1" ht="12.95" customHeight="1">
      <c r="A1694" s="26" t="s">
        <v>8500</v>
      </c>
      <c r="B1694" s="26"/>
      <c r="C1694" s="26" t="s">
        <v>8501</v>
      </c>
      <c r="D1694" s="26"/>
      <c r="E1694" s="26"/>
    </row>
    <row r="1695" spans="1:5" s="16" customFormat="1" ht="12.95" customHeight="1">
      <c r="A1695" s="26" t="s">
        <v>8502</v>
      </c>
      <c r="B1695" s="26"/>
      <c r="C1695" s="26" t="s">
        <v>8503</v>
      </c>
      <c r="D1695" s="26"/>
      <c r="E1695" s="26"/>
    </row>
    <row r="1696" spans="1:5" s="16" customFormat="1" ht="12.95" customHeight="1">
      <c r="A1696" s="26" t="s">
        <v>8504</v>
      </c>
      <c r="B1696" s="26"/>
      <c r="C1696" s="26" t="s">
        <v>8505</v>
      </c>
      <c r="D1696" s="26"/>
      <c r="E1696" s="26"/>
    </row>
    <row r="1697" spans="1:5" s="16" customFormat="1" ht="12.95" customHeight="1">
      <c r="A1697" s="26" t="s">
        <v>8506</v>
      </c>
      <c r="B1697" s="26"/>
      <c r="C1697" s="26" t="s">
        <v>8507</v>
      </c>
      <c r="D1697" s="26"/>
      <c r="E1697" s="26"/>
    </row>
    <row r="1698" spans="1:5" s="16" customFormat="1" ht="12.95" customHeight="1">
      <c r="A1698" s="26" t="s">
        <v>8508</v>
      </c>
      <c r="B1698" s="26"/>
      <c r="C1698" s="26" t="s">
        <v>8509</v>
      </c>
      <c r="D1698" s="26"/>
      <c r="E1698" s="26"/>
    </row>
    <row r="1699" spans="1:5" s="16" customFormat="1" ht="12.95" customHeight="1">
      <c r="A1699" s="26" t="s">
        <v>8510</v>
      </c>
      <c r="B1699" s="26"/>
      <c r="C1699" s="26" t="s">
        <v>8511</v>
      </c>
      <c r="D1699" s="26"/>
      <c r="E1699" s="26"/>
    </row>
    <row r="1700" spans="1:5" s="16" customFormat="1" ht="12.95" customHeight="1">
      <c r="A1700" s="26" t="s">
        <v>8512</v>
      </c>
      <c r="B1700" s="26"/>
      <c r="C1700" s="26" t="s">
        <v>8513</v>
      </c>
      <c r="D1700" s="26"/>
      <c r="E1700" s="26"/>
    </row>
    <row r="1701" spans="1:5" s="16" customFormat="1" ht="12.95" customHeight="1">
      <c r="A1701" s="26" t="s">
        <v>8514</v>
      </c>
      <c r="B1701" s="26"/>
      <c r="C1701" s="26" t="s">
        <v>8515</v>
      </c>
      <c r="D1701" s="26"/>
      <c r="E1701" s="26"/>
    </row>
    <row r="1702" spans="1:5" s="16" customFormat="1" ht="12.95" customHeight="1">
      <c r="A1702" s="26" t="s">
        <v>8516</v>
      </c>
      <c r="B1702" s="26"/>
      <c r="C1702" s="26" t="s">
        <v>8517</v>
      </c>
      <c r="D1702" s="26"/>
      <c r="E1702" s="26"/>
    </row>
    <row r="1703" spans="1:5" s="16" customFormat="1" ht="12.95" customHeight="1">
      <c r="A1703" s="26" t="s">
        <v>8518</v>
      </c>
      <c r="B1703" s="26"/>
      <c r="C1703" s="26" t="s">
        <v>8519</v>
      </c>
      <c r="D1703" s="26"/>
      <c r="E1703" s="26"/>
    </row>
    <row r="1704" spans="1:5" s="16" customFormat="1" ht="12.95" customHeight="1">
      <c r="A1704" s="26" t="s">
        <v>45</v>
      </c>
      <c r="B1704" s="26"/>
      <c r="C1704" s="26" t="s">
        <v>8520</v>
      </c>
      <c r="D1704" s="26"/>
      <c r="E1704" s="26"/>
    </row>
    <row r="1705" spans="1:5" s="16" customFormat="1" ht="12.95" customHeight="1">
      <c r="A1705" s="26" t="s">
        <v>2164</v>
      </c>
      <c r="B1705" s="26"/>
      <c r="C1705" s="26" t="s">
        <v>8521</v>
      </c>
      <c r="D1705" s="26"/>
      <c r="E1705" s="26"/>
    </row>
    <row r="1706" spans="1:5" s="16" customFormat="1" ht="12.95" customHeight="1">
      <c r="A1706" s="26" t="s">
        <v>8522</v>
      </c>
      <c r="B1706" s="26"/>
      <c r="C1706" s="26" t="s">
        <v>8523</v>
      </c>
      <c r="D1706" s="26"/>
      <c r="E1706" s="26"/>
    </row>
    <row r="1707" spans="1:5" s="16" customFormat="1" ht="12.95" customHeight="1">
      <c r="A1707" s="26" t="s">
        <v>8524</v>
      </c>
      <c r="B1707" s="26"/>
      <c r="C1707" s="26" t="s">
        <v>8525</v>
      </c>
      <c r="D1707" s="26"/>
      <c r="E1707" s="26"/>
    </row>
    <row r="1708" spans="1:5" s="16" customFormat="1" ht="12.95" customHeight="1">
      <c r="A1708" s="26" t="s">
        <v>8526</v>
      </c>
      <c r="B1708" s="26"/>
      <c r="C1708" s="26" t="s">
        <v>8527</v>
      </c>
      <c r="D1708" s="26"/>
      <c r="E1708" s="26"/>
    </row>
    <row r="1709" spans="1:5" s="16" customFormat="1" ht="12.95" customHeight="1">
      <c r="A1709" s="26" t="s">
        <v>8528</v>
      </c>
      <c r="B1709" s="26"/>
      <c r="C1709" s="26" t="s">
        <v>8529</v>
      </c>
      <c r="D1709" s="26"/>
      <c r="E1709" s="26"/>
    </row>
    <row r="1710" spans="1:5" s="16" customFormat="1" ht="12.95" customHeight="1">
      <c r="A1710" s="26" t="s">
        <v>8530</v>
      </c>
      <c r="B1710" s="26"/>
      <c r="C1710" s="26" t="s">
        <v>8531</v>
      </c>
      <c r="D1710" s="26"/>
      <c r="E1710" s="26"/>
    </row>
    <row r="1711" spans="1:5" s="16" customFormat="1" ht="12.95" customHeight="1">
      <c r="A1711" s="26" t="s">
        <v>8532</v>
      </c>
      <c r="B1711" s="26"/>
      <c r="C1711" s="26" t="s">
        <v>8533</v>
      </c>
      <c r="D1711" s="26"/>
      <c r="E1711" s="26"/>
    </row>
    <row r="1712" spans="1:5" s="16" customFormat="1" ht="12.95" customHeight="1">
      <c r="A1712" s="26" t="s">
        <v>8534</v>
      </c>
      <c r="B1712" s="26"/>
      <c r="C1712" s="26" t="s">
        <v>8525</v>
      </c>
      <c r="D1712" s="26"/>
      <c r="E1712" s="26"/>
    </row>
    <row r="1713" spans="1:5" s="16" customFormat="1" ht="12.95" customHeight="1">
      <c r="A1713" s="26" t="s">
        <v>8535</v>
      </c>
      <c r="B1713" s="26"/>
      <c r="C1713" s="26" t="s">
        <v>8536</v>
      </c>
      <c r="D1713" s="26"/>
      <c r="E1713" s="26"/>
    </row>
    <row r="1714" spans="1:5" s="16" customFormat="1" ht="12.95" customHeight="1">
      <c r="A1714" s="26" t="s">
        <v>8537</v>
      </c>
      <c r="B1714" s="26"/>
      <c r="C1714" s="26" t="s">
        <v>8538</v>
      </c>
      <c r="D1714" s="26"/>
      <c r="E1714" s="26"/>
    </row>
    <row r="1715" spans="1:5" s="16" customFormat="1" ht="12.95" customHeight="1">
      <c r="A1715" s="26" t="s">
        <v>8539</v>
      </c>
      <c r="B1715" s="26"/>
      <c r="C1715" s="26" t="s">
        <v>8540</v>
      </c>
      <c r="D1715" s="26"/>
      <c r="E1715" s="26"/>
    </row>
    <row r="1716" spans="1:5" s="16" customFormat="1" ht="12.95" customHeight="1">
      <c r="A1716" s="26" t="s">
        <v>8539</v>
      </c>
      <c r="B1716" s="26"/>
      <c r="C1716" s="26" t="s">
        <v>8540</v>
      </c>
      <c r="D1716" s="26"/>
      <c r="E1716" s="26"/>
    </row>
    <row r="1717" spans="1:5" s="16" customFormat="1" ht="12.95" customHeight="1">
      <c r="A1717" s="26" t="s">
        <v>8541</v>
      </c>
      <c r="B1717" s="26"/>
      <c r="C1717" s="26" t="s">
        <v>8542</v>
      </c>
      <c r="D1717" s="26"/>
      <c r="E1717" s="26"/>
    </row>
    <row r="1718" spans="1:5" s="16" customFormat="1" ht="12.95" customHeight="1">
      <c r="A1718" s="26" t="s">
        <v>8543</v>
      </c>
      <c r="B1718" s="26"/>
      <c r="C1718" s="26" t="s">
        <v>8544</v>
      </c>
      <c r="D1718" s="26"/>
      <c r="E1718" s="26"/>
    </row>
    <row r="1719" spans="1:5" s="16" customFormat="1" ht="12.95" customHeight="1">
      <c r="A1719" s="26" t="s">
        <v>8545</v>
      </c>
      <c r="B1719" s="26"/>
      <c r="C1719" s="26" t="s">
        <v>8546</v>
      </c>
      <c r="D1719" s="26"/>
      <c r="E1719" s="26"/>
    </row>
    <row r="1720" spans="1:5" s="16" customFormat="1" ht="12.95" customHeight="1">
      <c r="A1720" s="26" t="s">
        <v>8547</v>
      </c>
      <c r="B1720" s="26"/>
      <c r="C1720" s="26" t="s">
        <v>8548</v>
      </c>
      <c r="D1720" s="26"/>
      <c r="E1720" s="26"/>
    </row>
    <row r="1721" spans="1:5" s="16" customFormat="1" ht="12.95" customHeight="1">
      <c r="A1721" s="26" t="s">
        <v>8549</v>
      </c>
      <c r="B1721" s="26"/>
      <c r="C1721" s="26" t="s">
        <v>8550</v>
      </c>
      <c r="D1721" s="26"/>
      <c r="E1721" s="26"/>
    </row>
    <row r="1722" spans="1:5" s="16" customFormat="1" ht="26.1" customHeight="1">
      <c r="A1722" s="26" t="s">
        <v>8551</v>
      </c>
      <c r="B1722" s="26"/>
      <c r="C1722" s="26" t="s">
        <v>8552</v>
      </c>
      <c r="D1722" s="26"/>
      <c r="E1722" s="26"/>
    </row>
  </sheetData>
  <mergeCells count="1049">
    <mergeCell ref="A1720:B1720"/>
    <mergeCell ref="C1720:E1720"/>
    <mergeCell ref="A1721:B1721"/>
    <mergeCell ref="C1721:E1721"/>
    <mergeCell ref="A1722:B1722"/>
    <mergeCell ref="C1722:E1722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:E1"/>
    <mergeCell ref="F1:I5"/>
    <mergeCell ref="J1:O1"/>
    <mergeCell ref="A2:E2"/>
    <mergeCell ref="J2:O5"/>
    <mergeCell ref="A3:E3"/>
    <mergeCell ref="A4:E4"/>
    <mergeCell ref="A5:E5"/>
    <mergeCell ref="A1201:B1201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2024-05-08T18:50:55Z</dcterms:modified>
</cp:coreProperties>
</file>